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15" windowWidth="10800" windowHeight="10305" firstSheet="1" activeTab="1"/>
  </bookViews>
  <sheets>
    <sheet name="Erklärung" sheetId="2" r:id="rId1"/>
    <sheet name="Eingabe" sheetId="1" r:id="rId2"/>
    <sheet name="Ausgabe freie Lüftung" sheetId="6" r:id="rId3"/>
    <sheet name="Ausgabe vg Lüftung" sheetId="5" r:id="rId4"/>
    <sheet name="Ausgabe vg R-LG" sheetId="8" r:id="rId5"/>
    <sheet name="Winddaten" sheetId="3" r:id="rId6"/>
  </sheets>
  <definedNames>
    <definedName name="_xlnm.Print_Area" localSheetId="2">'Ausgabe freie Lüftung'!$A$1:$S$109</definedName>
    <definedName name="_xlnm.Print_Area" localSheetId="3">'Ausgabe vg Lüftung'!$A$1:$S$115</definedName>
    <definedName name="_xlnm.Print_Area" localSheetId="4">'Ausgabe vg R-LG'!$A$1:$S$109</definedName>
    <definedName name="_xlnm.Print_Area" localSheetId="1">Eingabe!$A$1:$S$109</definedName>
    <definedName name="_xlnm.Print_Area" localSheetId="0">Erklärung!$A$1:$L$51</definedName>
  </definedNames>
  <calcPr calcId="145621"/>
</workbook>
</file>

<file path=xl/calcChain.xml><?xml version="1.0" encoding="utf-8"?>
<calcChain xmlns="http://schemas.openxmlformats.org/spreadsheetml/2006/main">
  <c r="O81" i="8" l="1"/>
  <c r="O82" i="8" s="1"/>
  <c r="O83" i="8"/>
  <c r="O84" i="8" s="1"/>
  <c r="O85" i="8"/>
  <c r="O86" i="8" s="1"/>
  <c r="O87" i="8"/>
  <c r="O88" i="8" s="1"/>
  <c r="O89" i="8"/>
  <c r="O90" i="8" s="1"/>
  <c r="O91" i="8"/>
  <c r="O92" i="8" s="1"/>
  <c r="O93" i="8"/>
  <c r="O94" i="8" s="1"/>
  <c r="O95" i="8"/>
  <c r="O96" i="8" s="1"/>
  <c r="O97" i="8"/>
  <c r="O98" i="8" s="1"/>
  <c r="O99" i="8"/>
  <c r="O100" i="8" s="1"/>
  <c r="O101" i="8"/>
  <c r="O102" i="8" s="1"/>
  <c r="O103" i="8"/>
  <c r="O104" i="8" s="1"/>
  <c r="O105" i="8"/>
  <c r="O106" i="8" s="1"/>
  <c r="O107" i="8"/>
  <c r="O108" i="8" s="1"/>
  <c r="O80" i="8"/>
  <c r="O79" i="8"/>
  <c r="L81" i="8"/>
  <c r="L83" i="8"/>
  <c r="L85" i="8"/>
  <c r="L87" i="8"/>
  <c r="L89" i="8"/>
  <c r="L91" i="8"/>
  <c r="L93" i="8"/>
  <c r="L95" i="8"/>
  <c r="L97" i="8"/>
  <c r="L99" i="8"/>
  <c r="L101" i="8"/>
  <c r="L103" i="8"/>
  <c r="L105" i="8"/>
  <c r="L107" i="8"/>
  <c r="K81" i="8"/>
  <c r="K82" i="8" s="1"/>
  <c r="K83" i="8"/>
  <c r="K84" i="8" s="1"/>
  <c r="K85" i="8"/>
  <c r="K86" i="8" s="1"/>
  <c r="K87" i="8"/>
  <c r="K88" i="8" s="1"/>
  <c r="K89" i="8"/>
  <c r="K90" i="8" s="1"/>
  <c r="K91" i="8"/>
  <c r="K92" i="8" s="1"/>
  <c r="K93" i="8"/>
  <c r="K94" i="8" s="1"/>
  <c r="K95" i="8"/>
  <c r="K96" i="8" s="1"/>
  <c r="K97" i="8"/>
  <c r="K98" i="8" s="1"/>
  <c r="K99" i="8"/>
  <c r="K100" i="8" s="1"/>
  <c r="K101" i="8"/>
  <c r="K102" i="8" s="1"/>
  <c r="K103" i="8"/>
  <c r="K104" i="8" s="1"/>
  <c r="K105" i="8"/>
  <c r="K106" i="8" s="1"/>
  <c r="K107" i="8"/>
  <c r="K108" i="8" s="1"/>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K79" i="8"/>
  <c r="G79" i="8"/>
  <c r="I79" i="8"/>
  <c r="G44" i="8"/>
  <c r="G45" i="8" s="1"/>
  <c r="G46" i="8"/>
  <c r="G47" i="8" s="1"/>
  <c r="G48" i="8"/>
  <c r="G49" i="8" s="1"/>
  <c r="G50" i="8"/>
  <c r="G51" i="8" s="1"/>
  <c r="G52" i="8"/>
  <c r="G53" i="8" s="1"/>
  <c r="G54" i="8"/>
  <c r="G55" i="8" s="1"/>
  <c r="G56" i="8"/>
  <c r="G57" i="8" s="1"/>
  <c r="G58" i="8"/>
  <c r="G59" i="8" s="1"/>
  <c r="G60" i="8"/>
  <c r="G61" i="8" s="1"/>
  <c r="G62" i="8"/>
  <c r="G63" i="8" s="1"/>
  <c r="G64" i="8"/>
  <c r="G65" i="8" s="1"/>
  <c r="G66" i="8"/>
  <c r="G67" i="8" s="1"/>
  <c r="G68" i="8"/>
  <c r="G69" i="8" s="1"/>
  <c r="G70" i="8"/>
  <c r="G71" i="8" s="1"/>
  <c r="G42" i="8"/>
  <c r="AO99" i="1" l="1"/>
  <c r="AO100" i="1"/>
  <c r="AO101" i="1"/>
  <c r="AO102" i="1"/>
  <c r="AO103" i="1"/>
  <c r="AO104" i="1"/>
  <c r="AO105" i="1"/>
  <c r="AO83" i="1"/>
  <c r="AO84" i="1"/>
  <c r="AO85" i="1"/>
  <c r="AO86" i="1"/>
  <c r="AO87" i="1"/>
  <c r="AO88" i="1"/>
  <c r="AO89" i="1"/>
  <c r="AJ92" i="1" l="1"/>
  <c r="AO92" i="1" s="1"/>
  <c r="AJ93" i="1"/>
  <c r="AO93" i="1" s="1"/>
  <c r="AJ94" i="1"/>
  <c r="AO94" i="1" s="1"/>
  <c r="AJ95" i="1"/>
  <c r="AO95" i="1" s="1"/>
  <c r="AJ96" i="1"/>
  <c r="AO96" i="1" s="1"/>
  <c r="AJ97" i="1"/>
  <c r="AO97" i="1" s="1"/>
  <c r="AJ98" i="1"/>
  <c r="AO98" i="1" s="1"/>
  <c r="AJ99" i="1"/>
  <c r="AJ100" i="1"/>
  <c r="AJ101" i="1"/>
  <c r="AJ102" i="1"/>
  <c r="AJ103" i="1"/>
  <c r="AJ104" i="1"/>
  <c r="AJ105" i="1"/>
  <c r="AJ91" i="1"/>
  <c r="AO91" i="1" s="1"/>
  <c r="AI92" i="1"/>
  <c r="AI93" i="1"/>
  <c r="AI94" i="1"/>
  <c r="AI95" i="1"/>
  <c r="AI96" i="1"/>
  <c r="AI97" i="1"/>
  <c r="AI98" i="1"/>
  <c r="AI99" i="1"/>
  <c r="AI100" i="1"/>
  <c r="AI101" i="1"/>
  <c r="AI102" i="1"/>
  <c r="AI103" i="1"/>
  <c r="AI104" i="1"/>
  <c r="AI105" i="1"/>
  <c r="AI91" i="1"/>
  <c r="AJ76" i="1"/>
  <c r="AO76" i="1" s="1"/>
  <c r="AJ77" i="1"/>
  <c r="AO77" i="1" s="1"/>
  <c r="AJ78" i="1"/>
  <c r="AO78" i="1" s="1"/>
  <c r="AJ79" i="1"/>
  <c r="AO79" i="1" s="1"/>
  <c r="AJ80" i="1"/>
  <c r="AO80" i="1" s="1"/>
  <c r="AJ81" i="1"/>
  <c r="AO81" i="1" s="1"/>
  <c r="AJ82" i="1"/>
  <c r="AO82" i="1" s="1"/>
  <c r="AJ83" i="1"/>
  <c r="AJ84" i="1"/>
  <c r="AJ85" i="1"/>
  <c r="AJ86" i="1"/>
  <c r="AJ87" i="1"/>
  <c r="AJ88" i="1"/>
  <c r="AJ89" i="1"/>
  <c r="AJ75" i="1"/>
  <c r="AO75" i="1" s="1"/>
  <c r="AI76" i="1"/>
  <c r="AI77" i="1"/>
  <c r="AI78" i="1"/>
  <c r="AI79" i="1"/>
  <c r="AI80" i="1"/>
  <c r="AI81" i="1"/>
  <c r="AI82" i="1"/>
  <c r="AI83" i="1"/>
  <c r="AI84" i="1"/>
  <c r="AI85" i="1"/>
  <c r="AI86" i="1"/>
  <c r="AI87" i="1"/>
  <c r="AI88" i="1"/>
  <c r="AI89" i="1"/>
  <c r="AI75" i="1"/>
  <c r="AH89" i="1"/>
  <c r="AH92" i="1"/>
  <c r="AH93" i="1"/>
  <c r="AH94" i="1"/>
  <c r="AH95" i="1"/>
  <c r="AH96" i="1"/>
  <c r="AH97" i="1"/>
  <c r="AH98" i="1"/>
  <c r="AH99" i="1"/>
  <c r="AH100" i="1"/>
  <c r="AH101" i="1"/>
  <c r="AH102" i="1"/>
  <c r="AH103" i="1"/>
  <c r="AH104" i="1"/>
  <c r="AH105" i="1"/>
  <c r="AH91" i="1"/>
  <c r="AH76" i="1"/>
  <c r="AH77" i="1"/>
  <c r="AH78" i="1"/>
  <c r="AH79" i="1"/>
  <c r="AH80" i="1"/>
  <c r="AH81" i="1"/>
  <c r="AH82" i="1"/>
  <c r="AH83" i="1"/>
  <c r="AH84" i="1"/>
  <c r="AH85" i="1"/>
  <c r="AH86" i="1"/>
  <c r="AH87" i="1"/>
  <c r="AH88" i="1"/>
  <c r="AH75" i="1"/>
  <c r="N107" i="8"/>
  <c r="N105" i="8"/>
  <c r="N103" i="8"/>
  <c r="N101" i="8"/>
  <c r="N99" i="8"/>
  <c r="N97" i="8"/>
  <c r="N95" i="8"/>
  <c r="N93" i="8"/>
  <c r="N91" i="8"/>
  <c r="N89" i="8"/>
  <c r="N87" i="8"/>
  <c r="N85" i="8"/>
  <c r="N83" i="8"/>
  <c r="N81" i="8"/>
  <c r="N79" i="8"/>
  <c r="L79" i="8"/>
  <c r="O70" i="8"/>
  <c r="N70" i="8"/>
  <c r="L70" i="8"/>
  <c r="K70" i="8"/>
  <c r="O68" i="8"/>
  <c r="N68" i="8"/>
  <c r="L68" i="8"/>
  <c r="K68" i="8"/>
  <c r="O66" i="8"/>
  <c r="N66" i="8"/>
  <c r="L66" i="8"/>
  <c r="K66" i="8"/>
  <c r="O64" i="8"/>
  <c r="N64" i="8"/>
  <c r="L64" i="8"/>
  <c r="K64" i="8"/>
  <c r="O62" i="8"/>
  <c r="N62" i="8"/>
  <c r="L62" i="8"/>
  <c r="K62" i="8"/>
  <c r="O60" i="8"/>
  <c r="N60" i="8"/>
  <c r="L60" i="8"/>
  <c r="K60" i="8"/>
  <c r="O58" i="8"/>
  <c r="N58" i="8"/>
  <c r="L58" i="8"/>
  <c r="K58" i="8"/>
  <c r="O56" i="8"/>
  <c r="N56" i="8"/>
  <c r="L56" i="8"/>
  <c r="K56" i="8"/>
  <c r="O54" i="8"/>
  <c r="N54" i="8"/>
  <c r="L54" i="8"/>
  <c r="K54" i="8"/>
  <c r="O52" i="8"/>
  <c r="N52" i="8"/>
  <c r="L52" i="8"/>
  <c r="K52" i="8"/>
  <c r="O50" i="8"/>
  <c r="N50" i="8"/>
  <c r="L50" i="8"/>
  <c r="K50" i="8"/>
  <c r="O48" i="8"/>
  <c r="N48" i="8"/>
  <c r="L48" i="8"/>
  <c r="K48" i="8"/>
  <c r="O46" i="8"/>
  <c r="N46" i="8"/>
  <c r="L46" i="8"/>
  <c r="K46" i="8"/>
  <c r="O44" i="8"/>
  <c r="N44" i="8"/>
  <c r="L44" i="8"/>
  <c r="K44" i="8"/>
  <c r="O42" i="8"/>
  <c r="N42" i="8"/>
  <c r="L42" i="8"/>
  <c r="K42" i="8"/>
  <c r="AO106" i="1" l="1"/>
  <c r="AO109" i="1" s="1"/>
  <c r="AI106" i="1"/>
  <c r="AJ106" i="1"/>
  <c r="Z101" i="1"/>
  <c r="Z100" i="1"/>
  <c r="Y100" i="1"/>
  <c r="Z99" i="1"/>
  <c r="Y99" i="1"/>
  <c r="Z98" i="1"/>
  <c r="Y98" i="1"/>
  <c r="Z97" i="1"/>
  <c r="Y97" i="1"/>
  <c r="Z96" i="1"/>
  <c r="Y96" i="1"/>
  <c r="Z95" i="1"/>
  <c r="Y95" i="1"/>
  <c r="Z94" i="1"/>
  <c r="Y94" i="1"/>
  <c r="Z93" i="1"/>
  <c r="Y93" i="1"/>
  <c r="Z92" i="1"/>
  <c r="Y92" i="1"/>
  <c r="Z91" i="1"/>
  <c r="Y91" i="1"/>
  <c r="Z90" i="1"/>
  <c r="Y90" i="1"/>
  <c r="Z89" i="1"/>
  <c r="Y89" i="1"/>
  <c r="Z88" i="1"/>
  <c r="Y88" i="1"/>
  <c r="Z87" i="1"/>
  <c r="Y87" i="1"/>
  <c r="Z86" i="1"/>
  <c r="Y86" i="1"/>
  <c r="Y101" i="1" s="1"/>
  <c r="AB95" i="1" l="1"/>
  <c r="AJ107" i="1"/>
  <c r="X58" i="1"/>
  <c r="I42" i="1" l="1"/>
  <c r="Q2" i="1"/>
  <c r="N63" i="1"/>
  <c r="L108" i="1" s="1"/>
  <c r="X56" i="1" s="1"/>
  <c r="O70" i="6"/>
  <c r="N70" i="6"/>
  <c r="L70" i="6"/>
  <c r="K70" i="6"/>
  <c r="O68" i="6"/>
  <c r="N68" i="6"/>
  <c r="L68" i="6"/>
  <c r="K68" i="6"/>
  <c r="O66" i="6"/>
  <c r="N66" i="6"/>
  <c r="L66" i="6"/>
  <c r="K66" i="6"/>
  <c r="O64" i="6"/>
  <c r="N64" i="6"/>
  <c r="L64" i="6"/>
  <c r="K64" i="6"/>
  <c r="O62" i="6"/>
  <c r="N62" i="6"/>
  <c r="L62" i="6"/>
  <c r="K62" i="6"/>
  <c r="O60" i="6"/>
  <c r="N60" i="6"/>
  <c r="L60" i="6"/>
  <c r="K60" i="6"/>
  <c r="O58" i="6"/>
  <c r="N58" i="6"/>
  <c r="L58" i="6"/>
  <c r="K58" i="6"/>
  <c r="O56" i="6"/>
  <c r="N56" i="6"/>
  <c r="L56" i="6"/>
  <c r="K56" i="6"/>
  <c r="O54" i="6"/>
  <c r="N54" i="6"/>
  <c r="L54" i="6"/>
  <c r="K54" i="6"/>
  <c r="O52" i="6"/>
  <c r="N52" i="6"/>
  <c r="L52" i="6"/>
  <c r="K52" i="6"/>
  <c r="O50" i="6"/>
  <c r="N50" i="6"/>
  <c r="L50" i="6"/>
  <c r="K50" i="6"/>
  <c r="O48" i="6"/>
  <c r="N48" i="6"/>
  <c r="L48" i="6"/>
  <c r="K48" i="6"/>
  <c r="O46" i="6"/>
  <c r="N46" i="6"/>
  <c r="L46" i="6"/>
  <c r="K46" i="6"/>
  <c r="O44" i="6"/>
  <c r="N44" i="6"/>
  <c r="L44" i="6"/>
  <c r="K44" i="6"/>
  <c r="O76" i="5"/>
  <c r="K76" i="5"/>
  <c r="O74" i="5"/>
  <c r="K74" i="5"/>
  <c r="O72" i="5"/>
  <c r="K72" i="5"/>
  <c r="O70" i="5"/>
  <c r="K70" i="5"/>
  <c r="O68" i="5"/>
  <c r="K68" i="5"/>
  <c r="O66" i="5"/>
  <c r="K66" i="5"/>
  <c r="O64" i="5"/>
  <c r="K64" i="5"/>
  <c r="O62" i="5"/>
  <c r="K62" i="5"/>
  <c r="O60" i="5"/>
  <c r="K60" i="5"/>
  <c r="O58" i="5"/>
  <c r="K58" i="5"/>
  <c r="O56" i="5"/>
  <c r="K56" i="5"/>
  <c r="O54" i="5"/>
  <c r="K54" i="5"/>
  <c r="O52" i="5"/>
  <c r="K52" i="5"/>
  <c r="O50" i="5"/>
  <c r="K50" i="5"/>
  <c r="L113" i="5"/>
  <c r="L111" i="5"/>
  <c r="L109" i="5"/>
  <c r="L107" i="5"/>
  <c r="L105" i="5"/>
  <c r="L103" i="5"/>
  <c r="L101" i="5"/>
  <c r="L99" i="5"/>
  <c r="L97" i="5"/>
  <c r="L95" i="5"/>
  <c r="L93" i="5"/>
  <c r="L91" i="5"/>
  <c r="L89" i="5"/>
  <c r="L87" i="5"/>
  <c r="Z16" i="5"/>
  <c r="Z15" i="5"/>
  <c r="N107" i="6"/>
  <c r="L107" i="6"/>
  <c r="N105" i="6"/>
  <c r="L105" i="6"/>
  <c r="N103" i="6"/>
  <c r="L103" i="6"/>
  <c r="N101" i="6"/>
  <c r="L101" i="6"/>
  <c r="N99" i="6"/>
  <c r="L99" i="6"/>
  <c r="N97" i="6"/>
  <c r="L97" i="6"/>
  <c r="N95" i="6"/>
  <c r="L95" i="6"/>
  <c r="N93" i="6"/>
  <c r="L93" i="6"/>
  <c r="N91" i="6"/>
  <c r="L91" i="6"/>
  <c r="N89" i="6"/>
  <c r="L89" i="6"/>
  <c r="N87" i="6"/>
  <c r="L87" i="6"/>
  <c r="N85" i="6"/>
  <c r="L85" i="6"/>
  <c r="N83" i="6"/>
  <c r="L83" i="6"/>
  <c r="N81" i="6"/>
  <c r="L81" i="6"/>
  <c r="N79" i="6"/>
  <c r="L79" i="6"/>
  <c r="O42" i="6"/>
  <c r="N42" i="6"/>
  <c r="L42" i="6"/>
  <c r="K42" i="6"/>
  <c r="L85" i="5"/>
  <c r="O48" i="5"/>
  <c r="K48" i="5"/>
  <c r="Q1" i="1"/>
  <c r="AE39" i="1"/>
  <c r="Q51" i="1" s="1"/>
  <c r="X60" i="1" s="1"/>
  <c r="W123" i="1"/>
  <c r="X57" i="1"/>
  <c r="AO108" i="1" s="1"/>
  <c r="Q50" i="1"/>
  <c r="X59" i="1"/>
  <c r="AF61" i="1"/>
  <c r="AF62" i="1"/>
  <c r="X67" i="1"/>
  <c r="Z67" i="1"/>
  <c r="V69" i="1"/>
  <c r="Y69" i="1"/>
  <c r="Z69" i="1"/>
  <c r="V70" i="1"/>
  <c r="Y70" i="1"/>
  <c r="Z70" i="1"/>
  <c r="V71" i="1"/>
  <c r="Y71" i="1"/>
  <c r="Z71" i="1"/>
  <c r="V72" i="1"/>
  <c r="Y72" i="1"/>
  <c r="Z72" i="1"/>
  <c r="V73" i="1"/>
  <c r="Y73" i="1"/>
  <c r="Z73" i="1"/>
  <c r="V74" i="1"/>
  <c r="Y74" i="1"/>
  <c r="Z74" i="1"/>
  <c r="V75" i="1"/>
  <c r="Y75" i="1"/>
  <c r="Z75" i="1"/>
  <c r="V76" i="1"/>
  <c r="Y76" i="1"/>
  <c r="Z76" i="1"/>
  <c r="V77" i="1"/>
  <c r="Y77" i="1"/>
  <c r="Z77" i="1"/>
  <c r="V78" i="1"/>
  <c r="Y78" i="1"/>
  <c r="Z78" i="1"/>
  <c r="V79" i="1"/>
  <c r="Y79" i="1"/>
  <c r="Z79" i="1"/>
  <c r="V80" i="1"/>
  <c r="Y80" i="1"/>
  <c r="Z80" i="1"/>
  <c r="V81" i="1"/>
  <c r="Y81" i="1"/>
  <c r="Z81" i="1"/>
  <c r="V82" i="1"/>
  <c r="Y82" i="1"/>
  <c r="Z82" i="1"/>
  <c r="V83" i="1"/>
  <c r="Y83" i="1"/>
  <c r="Z83" i="1"/>
  <c r="V86" i="1"/>
  <c r="V87" i="1"/>
  <c r="V88" i="1"/>
  <c r="V89" i="1"/>
  <c r="V90" i="1"/>
  <c r="V91" i="1"/>
  <c r="V92" i="1"/>
  <c r="V93" i="1"/>
  <c r="V94" i="1"/>
  <c r="V95" i="1"/>
  <c r="V96" i="1"/>
  <c r="V97" i="1"/>
  <c r="V98" i="1"/>
  <c r="V99" i="1"/>
  <c r="V100" i="1"/>
  <c r="W122" i="1"/>
  <c r="W124" i="1" l="1"/>
  <c r="W21" i="8" s="1"/>
  <c r="W20" i="8"/>
  <c r="N76" i="8"/>
  <c r="N17" i="8"/>
  <c r="B107" i="6"/>
  <c r="B108" i="6" s="1"/>
  <c r="B103" i="6"/>
  <c r="B104" i="6" s="1"/>
  <c r="B99" i="6"/>
  <c r="B100" i="6" s="1"/>
  <c r="B95" i="6"/>
  <c r="B96" i="6" s="1"/>
  <c r="B91" i="6"/>
  <c r="B92" i="6" s="1"/>
  <c r="B87" i="6"/>
  <c r="B88" i="6" s="1"/>
  <c r="B83" i="6"/>
  <c r="B84" i="6" s="1"/>
  <c r="B79" i="6"/>
  <c r="B80" i="6" s="1"/>
  <c r="B68" i="6"/>
  <c r="B69" i="6" s="1"/>
  <c r="B64" i="6"/>
  <c r="B65" i="6" s="1"/>
  <c r="B60" i="6"/>
  <c r="B61" i="6" s="1"/>
  <c r="B56" i="6"/>
  <c r="B57" i="6" s="1"/>
  <c r="B52" i="6"/>
  <c r="B53" i="6" s="1"/>
  <c r="B48" i="6"/>
  <c r="B49" i="6" s="1"/>
  <c r="B44" i="6"/>
  <c r="B45" i="6" s="1"/>
  <c r="N39" i="8"/>
  <c r="N5" i="8"/>
  <c r="B105" i="6"/>
  <c r="B106" i="6" s="1"/>
  <c r="B101" i="6"/>
  <c r="B102" i="6" s="1"/>
  <c r="B97" i="6"/>
  <c r="B98" i="6" s="1"/>
  <c r="B93" i="6"/>
  <c r="B94" i="6" s="1"/>
  <c r="B89" i="6"/>
  <c r="B90" i="6" s="1"/>
  <c r="B85" i="6"/>
  <c r="B86" i="6" s="1"/>
  <c r="B81" i="6"/>
  <c r="B82" i="6" s="1"/>
  <c r="B70" i="6"/>
  <c r="B71" i="6" s="1"/>
  <c r="B66" i="6"/>
  <c r="B67" i="6" s="1"/>
  <c r="B62" i="6"/>
  <c r="B63" i="6" s="1"/>
  <c r="B58" i="6"/>
  <c r="B59" i="6" s="1"/>
  <c r="B54" i="6"/>
  <c r="B55" i="6" s="1"/>
  <c r="B50" i="6"/>
  <c r="B51" i="6" s="1"/>
  <c r="B42" i="6"/>
  <c r="B43" i="6" s="1"/>
  <c r="B46" i="6"/>
  <c r="B47" i="6" s="1"/>
  <c r="W21" i="6"/>
  <c r="W17" i="5"/>
  <c r="W19" i="8"/>
  <c r="A3" i="6"/>
  <c r="N39" i="6"/>
  <c r="N5" i="6"/>
  <c r="N76" i="6"/>
  <c r="N17" i="6"/>
  <c r="N23" i="6"/>
  <c r="N35" i="6"/>
  <c r="N29" i="6"/>
  <c r="W20" i="6"/>
  <c r="W18" i="5"/>
  <c r="Z108" i="1"/>
  <c r="Z111" i="1" s="1"/>
  <c r="Z8" i="8" s="1"/>
  <c r="W19" i="5"/>
  <c r="AA26" i="5"/>
  <c r="W120" i="1"/>
  <c r="W17" i="8" s="1"/>
  <c r="Q89" i="1"/>
  <c r="AB126" i="1"/>
  <c r="AB23" i="6" s="1"/>
  <c r="AA126" i="1"/>
  <c r="Z126" i="1"/>
  <c r="Z23" i="8" s="1"/>
  <c r="Z26" i="5"/>
  <c r="AB26" i="5"/>
  <c r="AA21" i="5"/>
  <c r="W121" i="1"/>
  <c r="W18" i="8" s="1"/>
  <c r="Z58" i="1"/>
  <c r="N58" i="1" s="1"/>
  <c r="X126" i="1"/>
  <c r="X23" i="8" s="1"/>
  <c r="Y126" i="1"/>
  <c r="Y23" i="8" s="1"/>
  <c r="Q106" i="1"/>
  <c r="AF63" i="1"/>
  <c r="W125" i="1" s="1"/>
  <c r="W22" i="8" s="1"/>
  <c r="W126" i="1"/>
  <c r="W23" i="8" s="1"/>
  <c r="W19" i="6"/>
  <c r="Z84" i="1"/>
  <c r="Z109" i="1" s="1"/>
  <c r="Y84" i="1"/>
  <c r="Z56" i="1"/>
  <c r="N56" i="1" s="1"/>
  <c r="Z113" i="1"/>
  <c r="Z10" i="8" s="1"/>
  <c r="Z110" i="1" l="1"/>
  <c r="Z7" i="8" s="1"/>
  <c r="Z6" i="8"/>
  <c r="Z112" i="1"/>
  <c r="Z5" i="8"/>
  <c r="G46" i="6"/>
  <c r="I46" i="6"/>
  <c r="G54" i="6"/>
  <c r="G55" i="6" s="1"/>
  <c r="I54" i="6"/>
  <c r="I55" i="6" s="1"/>
  <c r="I66" i="6"/>
  <c r="I67" i="6" s="1"/>
  <c r="G66" i="6"/>
  <c r="G67" i="6" s="1"/>
  <c r="I60" i="6"/>
  <c r="I61" i="6" s="1"/>
  <c r="G60" i="6"/>
  <c r="G61" i="6" s="1"/>
  <c r="I44" i="6"/>
  <c r="G44" i="6"/>
  <c r="I52" i="6"/>
  <c r="G52" i="6"/>
  <c r="I64" i="6"/>
  <c r="I65" i="6" s="1"/>
  <c r="G64" i="6"/>
  <c r="G65" i="6" s="1"/>
  <c r="I50" i="6"/>
  <c r="G50" i="6"/>
  <c r="G62" i="6"/>
  <c r="I62" i="6"/>
  <c r="I63" i="6" s="1"/>
  <c r="I70" i="6"/>
  <c r="I71" i="6" s="1"/>
  <c r="G70" i="6"/>
  <c r="G71" i="6" s="1"/>
  <c r="G58" i="6"/>
  <c r="G59" i="6" s="1"/>
  <c r="I58" i="6"/>
  <c r="I59" i="6" s="1"/>
  <c r="G42" i="6"/>
  <c r="I42" i="6"/>
  <c r="I48" i="6"/>
  <c r="G48" i="6"/>
  <c r="I56" i="6"/>
  <c r="I57" i="6" s="1"/>
  <c r="G56" i="6"/>
  <c r="G57" i="6" s="1"/>
  <c r="G68" i="6"/>
  <c r="G69" i="6" s="1"/>
  <c r="I68" i="6"/>
  <c r="I69" i="6" s="1"/>
  <c r="AA65" i="1"/>
  <c r="N82" i="5" s="1"/>
  <c r="AB21" i="5"/>
  <c r="AB23" i="8"/>
  <c r="AA23" i="6"/>
  <c r="AA23" i="8"/>
  <c r="B114" i="5"/>
  <c r="B112" i="5"/>
  <c r="B110" i="5"/>
  <c r="B108" i="5"/>
  <c r="B106" i="5"/>
  <c r="B104" i="5"/>
  <c r="B102" i="5"/>
  <c r="B100" i="5"/>
  <c r="B98" i="5"/>
  <c r="B96" i="5"/>
  <c r="B94" i="5"/>
  <c r="B92" i="5"/>
  <c r="B90" i="5"/>
  <c r="B88" i="5"/>
  <c r="B87" i="5"/>
  <c r="B85" i="5"/>
  <c r="B77" i="5"/>
  <c r="B75" i="5"/>
  <c r="B74" i="5"/>
  <c r="B72" i="5"/>
  <c r="B69" i="5"/>
  <c r="B67" i="5"/>
  <c r="B66" i="5"/>
  <c r="B64" i="5"/>
  <c r="B61" i="5"/>
  <c r="B59" i="5"/>
  <c r="B58" i="5"/>
  <c r="L58" i="5" s="1"/>
  <c r="B56" i="5"/>
  <c r="L56" i="5" s="1"/>
  <c r="B53" i="5"/>
  <c r="B51" i="5"/>
  <c r="B50" i="5"/>
  <c r="L50" i="5" s="1"/>
  <c r="B48" i="5"/>
  <c r="L48" i="5" s="1"/>
  <c r="N5" i="5"/>
  <c r="B113" i="5"/>
  <c r="B111" i="5"/>
  <c r="B109" i="5"/>
  <c r="B107" i="5"/>
  <c r="B105" i="5"/>
  <c r="B103" i="5"/>
  <c r="G103" i="5" s="1"/>
  <c r="B101" i="5"/>
  <c r="B99" i="5"/>
  <c r="B97" i="5"/>
  <c r="B95" i="5"/>
  <c r="B93" i="5"/>
  <c r="B91" i="5"/>
  <c r="B89" i="5"/>
  <c r="B86" i="5"/>
  <c r="B76" i="5"/>
  <c r="B73" i="5"/>
  <c r="B71" i="5"/>
  <c r="B70" i="5"/>
  <c r="B68" i="5"/>
  <c r="B65" i="5"/>
  <c r="B63" i="5"/>
  <c r="B62" i="5"/>
  <c r="B60" i="5"/>
  <c r="B57" i="5"/>
  <c r="B55" i="5"/>
  <c r="B54" i="5"/>
  <c r="L54" i="5" s="1"/>
  <c r="B52" i="5"/>
  <c r="L52" i="5" s="1"/>
  <c r="B49" i="5"/>
  <c r="N45" i="5"/>
  <c r="N38" i="5"/>
  <c r="N30" i="5"/>
  <c r="N22" i="5"/>
  <c r="B68" i="8"/>
  <c r="B69" i="8" s="1"/>
  <c r="B64" i="8"/>
  <c r="B65" i="8" s="1"/>
  <c r="B60" i="8"/>
  <c r="B61" i="8" s="1"/>
  <c r="B56" i="8"/>
  <c r="B57" i="8" s="1"/>
  <c r="B52" i="8"/>
  <c r="B53" i="8" s="1"/>
  <c r="B48" i="8"/>
  <c r="B49" i="8" s="1"/>
  <c r="B44" i="8"/>
  <c r="B45" i="8" s="1"/>
  <c r="B105" i="8"/>
  <c r="B101" i="8"/>
  <c r="B97" i="8"/>
  <c r="B93" i="8"/>
  <c r="B89" i="8"/>
  <c r="B85" i="8"/>
  <c r="B81" i="8"/>
  <c r="B42" i="8"/>
  <c r="B43" i="8" s="1"/>
  <c r="B70" i="8"/>
  <c r="B71" i="8" s="1"/>
  <c r="B66" i="8"/>
  <c r="B67" i="8" s="1"/>
  <c r="B62" i="8"/>
  <c r="B63" i="8" s="1"/>
  <c r="B58" i="8"/>
  <c r="B59" i="8" s="1"/>
  <c r="B50" i="8"/>
  <c r="B51" i="8" s="1"/>
  <c r="B107" i="8"/>
  <c r="B99" i="8"/>
  <c r="B91" i="8"/>
  <c r="B83" i="8"/>
  <c r="B54" i="8"/>
  <c r="B55" i="8" s="1"/>
  <c r="B46" i="8"/>
  <c r="B47" i="8" s="1"/>
  <c r="B103" i="8"/>
  <c r="B95" i="8"/>
  <c r="B87" i="8"/>
  <c r="B79" i="8"/>
  <c r="N33" i="8"/>
  <c r="N21" i="8"/>
  <c r="N27" i="8"/>
  <c r="X109" i="1"/>
  <c r="X6" i="8" s="1"/>
  <c r="AK99" i="1"/>
  <c r="X108" i="1"/>
  <c r="X5" i="8" s="1"/>
  <c r="AK92" i="1"/>
  <c r="AK94" i="1"/>
  <c r="AK96" i="1"/>
  <c r="AK98" i="1"/>
  <c r="AK100" i="1"/>
  <c r="AK102" i="1"/>
  <c r="AK104" i="1"/>
  <c r="AK91" i="1"/>
  <c r="AK93" i="1"/>
  <c r="AK95" i="1"/>
  <c r="AK97" i="1"/>
  <c r="AK101" i="1"/>
  <c r="AK103" i="1"/>
  <c r="AK105" i="1"/>
  <c r="A97" i="1"/>
  <c r="A95" i="1"/>
  <c r="AK79" i="1"/>
  <c r="AK89" i="1"/>
  <c r="A96" i="1"/>
  <c r="A94" i="1"/>
  <c r="AK76" i="1"/>
  <c r="AK78" i="1"/>
  <c r="AK80" i="1"/>
  <c r="AK82" i="1"/>
  <c r="AK84" i="1"/>
  <c r="AK86" i="1"/>
  <c r="AK88" i="1"/>
  <c r="AK90" i="1"/>
  <c r="AK75" i="1"/>
  <c r="AK77" i="1"/>
  <c r="AK81" i="1"/>
  <c r="AK83" i="1"/>
  <c r="AK85" i="1"/>
  <c r="AK87" i="1"/>
  <c r="X113" i="1"/>
  <c r="K80" i="8"/>
  <c r="I44" i="8"/>
  <c r="I48" i="8"/>
  <c r="Z131" i="1"/>
  <c r="AA29" i="8"/>
  <c r="W26" i="8"/>
  <c r="X27" i="8"/>
  <c r="Y26" i="8"/>
  <c r="AB27" i="8"/>
  <c r="AA28" i="8"/>
  <c r="AB29" i="8"/>
  <c r="Z26" i="8"/>
  <c r="W27" i="8"/>
  <c r="AA27" i="8"/>
  <c r="Z28" i="8"/>
  <c r="Y29" i="8"/>
  <c r="AA26" i="8"/>
  <c r="Z27" i="8"/>
  <c r="Y28" i="8"/>
  <c r="Z29" i="8"/>
  <c r="X26" i="8"/>
  <c r="AB26" i="8"/>
  <c r="Y27" i="8"/>
  <c r="X28" i="8"/>
  <c r="AB28" i="8"/>
  <c r="N72" i="8"/>
  <c r="L109" i="8"/>
  <c r="Z3" i="5"/>
  <c r="Z5" i="6"/>
  <c r="AB131" i="1"/>
  <c r="G72" i="5"/>
  <c r="G73" i="5" s="1"/>
  <c r="N68" i="5"/>
  <c r="N69" i="5" s="1"/>
  <c r="W15" i="5"/>
  <c r="W17" i="6"/>
  <c r="AA132" i="1"/>
  <c r="AA129" i="1"/>
  <c r="AA131" i="1"/>
  <c r="Z21" i="5"/>
  <c r="Z23" i="6"/>
  <c r="X21" i="5"/>
  <c r="X23" i="6"/>
  <c r="W20" i="5"/>
  <c r="W22" i="6"/>
  <c r="Y131" i="1"/>
  <c r="Z132" i="1"/>
  <c r="X130" i="1"/>
  <c r="AB132" i="1"/>
  <c r="Z129" i="1"/>
  <c r="AB129" i="1"/>
  <c r="W130" i="1"/>
  <c r="Y132" i="1"/>
  <c r="AA130" i="1"/>
  <c r="X129" i="1"/>
  <c r="Y129" i="1"/>
  <c r="Z115" i="1"/>
  <c r="Z12" i="8" s="1"/>
  <c r="Z7" i="6"/>
  <c r="Z114" i="1"/>
  <c r="Z11" i="8" s="1"/>
  <c r="Z5" i="5"/>
  <c r="N9" i="5" s="1"/>
  <c r="Z116" i="1"/>
  <c r="Z13" i="8" s="1"/>
  <c r="I87" i="6"/>
  <c r="G87" i="6"/>
  <c r="O87" i="6"/>
  <c r="O88" i="6" s="1"/>
  <c r="K87" i="6"/>
  <c r="K88" i="6" s="1"/>
  <c r="G105" i="6"/>
  <c r="G106" i="6" s="1"/>
  <c r="I105" i="6"/>
  <c r="I106" i="6" s="1"/>
  <c r="O105" i="6"/>
  <c r="O106" i="6" s="1"/>
  <c r="K105" i="6"/>
  <c r="K106" i="6" s="1"/>
  <c r="Z6" i="6"/>
  <c r="Z4" i="5"/>
  <c r="W21" i="5"/>
  <c r="W23" i="6"/>
  <c r="X131" i="1"/>
  <c r="Y130" i="1"/>
  <c r="Y21" i="5"/>
  <c r="Y23" i="6"/>
  <c r="W16" i="5"/>
  <c r="W18" i="6"/>
  <c r="G85" i="6"/>
  <c r="I85" i="6"/>
  <c r="K85" i="6"/>
  <c r="O85" i="6"/>
  <c r="G93" i="6"/>
  <c r="G94" i="6" s="1"/>
  <c r="K93" i="6"/>
  <c r="K94" i="6" s="1"/>
  <c r="I93" i="6"/>
  <c r="I94" i="6" s="1"/>
  <c r="O93" i="6"/>
  <c r="O94" i="6" s="1"/>
  <c r="G79" i="6"/>
  <c r="I79" i="6"/>
  <c r="N109" i="6"/>
  <c r="O79" i="6"/>
  <c r="L109" i="6"/>
  <c r="K79" i="6"/>
  <c r="I103" i="6"/>
  <c r="I104" i="6" s="1"/>
  <c r="G103" i="6"/>
  <c r="G104" i="6" s="1"/>
  <c r="O103" i="6"/>
  <c r="O104" i="6" s="1"/>
  <c r="K103" i="6"/>
  <c r="K104" i="6" s="1"/>
  <c r="G89" i="6"/>
  <c r="I89" i="6"/>
  <c r="O89" i="6"/>
  <c r="O90" i="6" s="1"/>
  <c r="K89" i="6"/>
  <c r="K90" i="6" s="1"/>
  <c r="O81" i="6"/>
  <c r="K81" i="6"/>
  <c r="I81" i="6"/>
  <c r="G81" i="6"/>
  <c r="N60" i="1"/>
  <c r="AB130" i="1"/>
  <c r="L72" i="6"/>
  <c r="K72" i="6"/>
  <c r="O72" i="6"/>
  <c r="N72" i="6"/>
  <c r="I107" i="6"/>
  <c r="I108" i="6" s="1"/>
  <c r="O107" i="6"/>
  <c r="O108" i="6" s="1"/>
  <c r="K107" i="6"/>
  <c r="K108" i="6" s="1"/>
  <c r="G107" i="6"/>
  <c r="G108" i="6" s="1"/>
  <c r="I91" i="6"/>
  <c r="I92" i="6" s="1"/>
  <c r="O91" i="6"/>
  <c r="O92" i="6" s="1"/>
  <c r="G91" i="6"/>
  <c r="G92" i="6" s="1"/>
  <c r="K91" i="6"/>
  <c r="K92" i="6" s="1"/>
  <c r="G101" i="6"/>
  <c r="G102" i="6" s="1"/>
  <c r="K101" i="6"/>
  <c r="K102" i="6" s="1"/>
  <c r="I101" i="6"/>
  <c r="I102" i="6" s="1"/>
  <c r="O101" i="6"/>
  <c r="O102" i="6" s="1"/>
  <c r="Z6" i="5"/>
  <c r="Z8" i="6"/>
  <c r="G99" i="6"/>
  <c r="G100" i="6" s="1"/>
  <c r="I99" i="6"/>
  <c r="I100" i="6" s="1"/>
  <c r="O99" i="6"/>
  <c r="O100" i="6" s="1"/>
  <c r="K99" i="6"/>
  <c r="K100" i="6" s="1"/>
  <c r="Z8" i="5"/>
  <c r="Z10" i="6"/>
  <c r="X110" i="1"/>
  <c r="X7" i="8" s="1"/>
  <c r="W129" i="1"/>
  <c r="Z130" i="1"/>
  <c r="I95" i="6"/>
  <c r="I96" i="6" s="1"/>
  <c r="G95" i="6"/>
  <c r="G96" i="6" s="1"/>
  <c r="K95" i="6"/>
  <c r="K96" i="6" s="1"/>
  <c r="O95" i="6"/>
  <c r="O96" i="6" s="1"/>
  <c r="K83" i="6"/>
  <c r="I83" i="6"/>
  <c r="G83" i="6"/>
  <c r="O83" i="6"/>
  <c r="G97" i="6"/>
  <c r="G98" i="6" s="1"/>
  <c r="I97" i="6"/>
  <c r="I98" i="6" s="1"/>
  <c r="O97" i="6"/>
  <c r="O98" i="6" s="1"/>
  <c r="K97" i="6"/>
  <c r="K98" i="6" s="1"/>
  <c r="G63" i="6"/>
  <c r="I52" i="5" l="1"/>
  <c r="Q52" i="5"/>
  <c r="I60" i="5"/>
  <c r="Q60" i="5"/>
  <c r="Q61" i="5" s="1"/>
  <c r="L60" i="5"/>
  <c r="I68" i="5"/>
  <c r="I69" i="5" s="1"/>
  <c r="Q68" i="5"/>
  <c r="Q69" i="5" s="1"/>
  <c r="L68" i="5"/>
  <c r="I76" i="5"/>
  <c r="Q76" i="5"/>
  <c r="Q77" i="5" s="1"/>
  <c r="L76" i="5"/>
  <c r="I89" i="5"/>
  <c r="K89" i="5"/>
  <c r="Q89" i="5"/>
  <c r="Q90" i="5" s="1"/>
  <c r="I93" i="5"/>
  <c r="K93" i="5"/>
  <c r="Q93" i="5"/>
  <c r="Q94" i="5" s="1"/>
  <c r="I97" i="5"/>
  <c r="K97" i="5"/>
  <c r="Q97" i="5"/>
  <c r="Q98" i="5" s="1"/>
  <c r="I101" i="5"/>
  <c r="K101" i="5"/>
  <c r="Q101" i="5"/>
  <c r="Q102" i="5" s="1"/>
  <c r="I105" i="5"/>
  <c r="I106" i="5" s="1"/>
  <c r="K105" i="5"/>
  <c r="Q105" i="5"/>
  <c r="Q106" i="5" s="1"/>
  <c r="I109" i="5"/>
  <c r="K109" i="5"/>
  <c r="Q109" i="5"/>
  <c r="Q110" i="5" s="1"/>
  <c r="I113" i="5"/>
  <c r="I114" i="5" s="1"/>
  <c r="K113" i="5"/>
  <c r="Q113" i="5"/>
  <c r="Q114" i="5" s="1"/>
  <c r="I50" i="5"/>
  <c r="Q50" i="5"/>
  <c r="I58" i="5"/>
  <c r="Q58" i="5"/>
  <c r="I66" i="5"/>
  <c r="Q66" i="5"/>
  <c r="Q67" i="5" s="1"/>
  <c r="L66" i="5"/>
  <c r="I74" i="5"/>
  <c r="Q74" i="5"/>
  <c r="Q75" i="5" s="1"/>
  <c r="L74" i="5"/>
  <c r="I87" i="5"/>
  <c r="Q87" i="5"/>
  <c r="K87" i="5"/>
  <c r="I54" i="5"/>
  <c r="Q54" i="5"/>
  <c r="I62" i="5"/>
  <c r="I63" i="5" s="1"/>
  <c r="Q62" i="5"/>
  <c r="Q63" i="5" s="1"/>
  <c r="L62" i="5"/>
  <c r="L63" i="5" s="1"/>
  <c r="I70" i="5"/>
  <c r="Q70" i="5"/>
  <c r="Q71" i="5" s="1"/>
  <c r="L70" i="5"/>
  <c r="I91" i="5"/>
  <c r="Q91" i="5"/>
  <c r="Q92" i="5" s="1"/>
  <c r="K91" i="5"/>
  <c r="I95" i="5"/>
  <c r="Q95" i="5"/>
  <c r="Q96" i="5" s="1"/>
  <c r="K95" i="5"/>
  <c r="I99" i="5"/>
  <c r="Q99" i="5"/>
  <c r="Q100" i="5" s="1"/>
  <c r="K99" i="5"/>
  <c r="I103" i="5"/>
  <c r="Q103" i="5"/>
  <c r="Q104" i="5" s="1"/>
  <c r="K103" i="5"/>
  <c r="I107" i="5"/>
  <c r="I108" i="5" s="1"/>
  <c r="Q107" i="5"/>
  <c r="Q108" i="5" s="1"/>
  <c r="K107" i="5"/>
  <c r="K108" i="5" s="1"/>
  <c r="I111" i="5"/>
  <c r="Q111" i="5"/>
  <c r="Q112" i="5" s="1"/>
  <c r="K111" i="5"/>
  <c r="K112" i="5" s="1"/>
  <c r="I48" i="5"/>
  <c r="Q48" i="5"/>
  <c r="I56" i="5"/>
  <c r="Q56" i="5"/>
  <c r="I64" i="5"/>
  <c r="I65" i="5" s="1"/>
  <c r="Q64" i="5"/>
  <c r="Q65" i="5" s="1"/>
  <c r="L64" i="5"/>
  <c r="L65" i="5" s="1"/>
  <c r="I72" i="5"/>
  <c r="I73" i="5" s="1"/>
  <c r="Q72" i="5"/>
  <c r="Q73" i="5" s="1"/>
  <c r="L72" i="5"/>
  <c r="I85" i="5"/>
  <c r="Q85" i="5"/>
  <c r="K85" i="5"/>
  <c r="I61" i="5"/>
  <c r="I77" i="5"/>
  <c r="O97" i="5"/>
  <c r="O98" i="5" s="1"/>
  <c r="G105" i="5"/>
  <c r="G106" i="5" s="1"/>
  <c r="G109" i="5"/>
  <c r="G110" i="5" s="1"/>
  <c r="O113" i="5"/>
  <c r="O114" i="5" s="1"/>
  <c r="I67" i="5"/>
  <c r="I75" i="5"/>
  <c r="I71" i="5"/>
  <c r="G107" i="5"/>
  <c r="G108" i="5" s="1"/>
  <c r="G111" i="5"/>
  <c r="G112" i="5" s="1"/>
  <c r="O111" i="5"/>
  <c r="O112" i="5" s="1"/>
  <c r="N56" i="5"/>
  <c r="Z7" i="5"/>
  <c r="Z9" i="8"/>
  <c r="Z9" i="6"/>
  <c r="L61" i="5"/>
  <c r="O78" i="5"/>
  <c r="G91" i="5"/>
  <c r="M64" i="5"/>
  <c r="G85" i="5"/>
  <c r="G64" i="5"/>
  <c r="G65" i="5" s="1"/>
  <c r="G52" i="5"/>
  <c r="M48" i="5"/>
  <c r="O99" i="5"/>
  <c r="O100" i="5" s="1"/>
  <c r="M72" i="5"/>
  <c r="L77" i="5"/>
  <c r="O95" i="5"/>
  <c r="O96" i="5" s="1"/>
  <c r="O107" i="5"/>
  <c r="O108" i="5" s="1"/>
  <c r="N76" i="5"/>
  <c r="N77" i="5" s="1"/>
  <c r="G48" i="5"/>
  <c r="N60" i="5"/>
  <c r="N61" i="5" s="1"/>
  <c r="N91" i="5"/>
  <c r="G50" i="5"/>
  <c r="I62" i="8"/>
  <c r="I63" i="8" s="1"/>
  <c r="G87" i="5"/>
  <c r="G101" i="5"/>
  <c r="M70" i="5"/>
  <c r="G97" i="5"/>
  <c r="N66" i="5"/>
  <c r="N67" i="5" s="1"/>
  <c r="K106" i="5"/>
  <c r="N87" i="5"/>
  <c r="I70" i="8"/>
  <c r="I71" i="8" s="1"/>
  <c r="I50" i="8"/>
  <c r="I46" i="8"/>
  <c r="I56" i="8"/>
  <c r="I57" i="8" s="1"/>
  <c r="N16" i="5"/>
  <c r="M60" i="5"/>
  <c r="K78" i="5"/>
  <c r="G99" i="5"/>
  <c r="G100" i="5" s="1"/>
  <c r="M52" i="5"/>
  <c r="O103" i="5"/>
  <c r="O104" i="5" s="1"/>
  <c r="L73" i="5"/>
  <c r="M76" i="5"/>
  <c r="G95" i="5"/>
  <c r="L69" i="5"/>
  <c r="M68" i="5"/>
  <c r="M56" i="5"/>
  <c r="L115" i="5"/>
  <c r="O91" i="5"/>
  <c r="G76" i="5"/>
  <c r="G77" i="5" s="1"/>
  <c r="O85" i="5"/>
  <c r="N48" i="5"/>
  <c r="G68" i="5"/>
  <c r="G69" i="5" s="1"/>
  <c r="G56" i="5"/>
  <c r="G57" i="5" s="1"/>
  <c r="G60" i="5"/>
  <c r="G61" i="5" s="1"/>
  <c r="N64" i="5"/>
  <c r="N65" i="5" s="1"/>
  <c r="N72" i="5"/>
  <c r="N73" i="5" s="1"/>
  <c r="N52" i="5"/>
  <c r="N85" i="5"/>
  <c r="O93" i="5"/>
  <c r="O94" i="5" s="1"/>
  <c r="G113" i="5"/>
  <c r="G114" i="5" s="1"/>
  <c r="O109" i="5"/>
  <c r="O110" i="5" s="1"/>
  <c r="O105" i="5"/>
  <c r="O106" i="5" s="1"/>
  <c r="M62" i="5"/>
  <c r="L75" i="5"/>
  <c r="G89" i="5"/>
  <c r="M66" i="5"/>
  <c r="G62" i="5"/>
  <c r="G63" i="5" s="1"/>
  <c r="N54" i="5"/>
  <c r="G74" i="5"/>
  <c r="G75" i="5" s="1"/>
  <c r="K110" i="5"/>
  <c r="G58" i="5"/>
  <c r="G59" i="5" s="1"/>
  <c r="K114" i="5"/>
  <c r="N70" i="5"/>
  <c r="N71" i="5" s="1"/>
  <c r="I66" i="8"/>
  <c r="I67" i="8" s="1"/>
  <c r="I58" i="8"/>
  <c r="I59" i="8" s="1"/>
  <c r="K72" i="8"/>
  <c r="G93" i="5"/>
  <c r="O87" i="5"/>
  <c r="O101" i="5"/>
  <c r="O102" i="5" s="1"/>
  <c r="M50" i="5"/>
  <c r="M54" i="5"/>
  <c r="M74" i="5"/>
  <c r="O89" i="5"/>
  <c r="L71" i="5"/>
  <c r="M58" i="5"/>
  <c r="N62" i="5"/>
  <c r="N63" i="5" s="1"/>
  <c r="G66" i="5"/>
  <c r="G67" i="5" s="1"/>
  <c r="G54" i="5"/>
  <c r="N74" i="5"/>
  <c r="N75" i="5" s="1"/>
  <c r="N50" i="5"/>
  <c r="N58" i="5"/>
  <c r="G70" i="5"/>
  <c r="G71" i="5" s="1"/>
  <c r="N89" i="5"/>
  <c r="L72" i="8"/>
  <c r="I68" i="8"/>
  <c r="I69" i="8" s="1"/>
  <c r="I52" i="8"/>
  <c r="N93" i="5"/>
  <c r="I54" i="8"/>
  <c r="I55" i="8" s="1"/>
  <c r="Q87" i="8"/>
  <c r="B88" i="8"/>
  <c r="Q103" i="8"/>
  <c r="Q104" i="8" s="1"/>
  <c r="B104" i="8"/>
  <c r="Q91" i="8"/>
  <c r="Q92" i="8" s="1"/>
  <c r="B92" i="8"/>
  <c r="Q107" i="8"/>
  <c r="Q108" i="8" s="1"/>
  <c r="B108" i="8"/>
  <c r="Q85" i="8"/>
  <c r="B86" i="8"/>
  <c r="Q93" i="8"/>
  <c r="Q94" i="8" s="1"/>
  <c r="B94" i="8"/>
  <c r="Q101" i="8"/>
  <c r="Q102" i="8" s="1"/>
  <c r="B102" i="8"/>
  <c r="I98" i="5"/>
  <c r="N97" i="5"/>
  <c r="N98" i="5" s="1"/>
  <c r="N101" i="5"/>
  <c r="N102" i="5" s="1"/>
  <c r="N105" i="5"/>
  <c r="N106" i="5" s="1"/>
  <c r="I110" i="5"/>
  <c r="N109" i="5"/>
  <c r="N110" i="5" s="1"/>
  <c r="N113" i="5"/>
  <c r="N114" i="5" s="1"/>
  <c r="Q79" i="8"/>
  <c r="B80" i="8"/>
  <c r="Q95" i="8"/>
  <c r="Q96" i="8" s="1"/>
  <c r="B96" i="8"/>
  <c r="Q83" i="8"/>
  <c r="Q84" i="8" s="1"/>
  <c r="B84" i="8"/>
  <c r="Q99" i="8"/>
  <c r="Q100" i="8" s="1"/>
  <c r="B100" i="8"/>
  <c r="Q81" i="8"/>
  <c r="B82" i="8"/>
  <c r="Q89" i="8"/>
  <c r="B90" i="8"/>
  <c r="Q97" i="8"/>
  <c r="Q98" i="8" s="1"/>
  <c r="B98" i="8"/>
  <c r="Q105" i="8"/>
  <c r="Q106" i="8" s="1"/>
  <c r="B106" i="8"/>
  <c r="N95" i="5"/>
  <c r="I100" i="5"/>
  <c r="N99" i="5"/>
  <c r="N100" i="5" s="1"/>
  <c r="N103" i="5"/>
  <c r="N104" i="5" s="1"/>
  <c r="N107" i="5"/>
  <c r="N108" i="5" s="1"/>
  <c r="I112" i="5"/>
  <c r="N111" i="5"/>
  <c r="N112" i="5" s="1"/>
  <c r="Q54" i="8"/>
  <c r="Q55" i="8" s="1"/>
  <c r="Q50" i="8"/>
  <c r="Q62" i="8"/>
  <c r="Q63" i="8" s="1"/>
  <c r="Q70" i="8"/>
  <c r="Q71" i="8" s="1"/>
  <c r="Q48" i="8"/>
  <c r="Q56" i="8"/>
  <c r="Q57" i="8" s="1"/>
  <c r="Q64" i="8"/>
  <c r="Q65" i="8" s="1"/>
  <c r="Q46" i="8"/>
  <c r="Q58" i="8"/>
  <c r="Q59" i="8" s="1"/>
  <c r="Q66" i="8"/>
  <c r="Q67" i="8" s="1"/>
  <c r="Q42" i="8"/>
  <c r="Q44" i="8"/>
  <c r="Q52" i="8"/>
  <c r="Q60" i="8"/>
  <c r="Q61" i="8" s="1"/>
  <c r="Q68" i="8"/>
  <c r="Q69" i="8" s="1"/>
  <c r="O72" i="8"/>
  <c r="I42" i="8"/>
  <c r="AN103" i="1"/>
  <c r="AL103" i="1"/>
  <c r="AM103" i="1"/>
  <c r="AN97" i="1"/>
  <c r="AL97" i="1"/>
  <c r="AM97" i="1"/>
  <c r="AN91" i="1"/>
  <c r="AL91" i="1"/>
  <c r="AM91" i="1"/>
  <c r="AN85" i="1"/>
  <c r="AL85" i="1"/>
  <c r="AM85" i="1"/>
  <c r="AN81" i="1"/>
  <c r="AL81" i="1"/>
  <c r="AM81" i="1"/>
  <c r="AM75" i="1"/>
  <c r="AK106" i="1"/>
  <c r="AL75" i="1"/>
  <c r="AN75" i="1"/>
  <c r="AN102" i="1"/>
  <c r="AL102" i="1"/>
  <c r="AM102" i="1"/>
  <c r="AN98" i="1"/>
  <c r="AL98" i="1"/>
  <c r="AM98" i="1"/>
  <c r="AN94" i="1"/>
  <c r="AM94" i="1"/>
  <c r="AL94" i="1"/>
  <c r="AN90" i="1"/>
  <c r="AM90" i="1"/>
  <c r="AL90" i="1"/>
  <c r="AN86" i="1"/>
  <c r="AM86" i="1"/>
  <c r="AL86" i="1"/>
  <c r="AN82" i="1"/>
  <c r="AM82" i="1"/>
  <c r="AL82" i="1"/>
  <c r="AN78" i="1"/>
  <c r="AM78" i="1"/>
  <c r="AL78" i="1"/>
  <c r="AN105" i="1"/>
  <c r="AL105" i="1"/>
  <c r="AM105" i="1"/>
  <c r="AN95" i="1"/>
  <c r="AL95" i="1"/>
  <c r="AM95" i="1"/>
  <c r="AN79" i="1"/>
  <c r="AL79" i="1"/>
  <c r="AM79" i="1"/>
  <c r="AN99" i="1"/>
  <c r="AL99" i="1"/>
  <c r="AM99" i="1"/>
  <c r="AN93" i="1"/>
  <c r="AL93" i="1"/>
  <c r="AM93" i="1"/>
  <c r="AN87" i="1"/>
  <c r="AL87" i="1"/>
  <c r="AM87" i="1"/>
  <c r="AN83" i="1"/>
  <c r="AL83" i="1"/>
  <c r="AM83" i="1"/>
  <c r="AN77" i="1"/>
  <c r="AL77" i="1"/>
  <c r="AM77" i="1"/>
  <c r="AN104" i="1"/>
  <c r="AM104" i="1"/>
  <c r="AL104" i="1"/>
  <c r="AN100" i="1"/>
  <c r="AM100" i="1"/>
  <c r="AL100" i="1"/>
  <c r="AN96" i="1"/>
  <c r="AM96" i="1"/>
  <c r="AL96" i="1"/>
  <c r="AN92" i="1"/>
  <c r="AM92" i="1"/>
  <c r="AL92" i="1"/>
  <c r="AN88" i="1"/>
  <c r="AM88" i="1"/>
  <c r="AL88" i="1"/>
  <c r="AN84" i="1"/>
  <c r="AM84" i="1"/>
  <c r="AL84" i="1"/>
  <c r="AN80" i="1"/>
  <c r="AM80" i="1"/>
  <c r="AL80" i="1"/>
  <c r="AN76" i="1"/>
  <c r="AM76" i="1"/>
  <c r="AL76" i="1"/>
  <c r="AN101" i="1"/>
  <c r="AL101" i="1"/>
  <c r="AM101" i="1"/>
  <c r="AN89" i="1"/>
  <c r="AL89" i="1"/>
  <c r="AM89" i="1"/>
  <c r="I64" i="8"/>
  <c r="I65" i="8" s="1"/>
  <c r="N109" i="8"/>
  <c r="I60" i="8"/>
  <c r="I61" i="8" s="1"/>
  <c r="K109" i="8"/>
  <c r="X10" i="8"/>
  <c r="X8" i="5"/>
  <c r="X10" i="6"/>
  <c r="X114" i="1"/>
  <c r="X112" i="1"/>
  <c r="O109" i="8"/>
  <c r="I47" i="8"/>
  <c r="L67" i="5"/>
  <c r="G104" i="5"/>
  <c r="Z24" i="5"/>
  <c r="X26" i="5"/>
  <c r="X25" i="5"/>
  <c r="AB25" i="5"/>
  <c r="AA25" i="5"/>
  <c r="AA27" i="5"/>
  <c r="Z27" i="5"/>
  <c r="X24" i="5"/>
  <c r="AB27" i="5"/>
  <c r="W25" i="5"/>
  <c r="AA24" i="5"/>
  <c r="Z25" i="5"/>
  <c r="W24" i="5"/>
  <c r="Y25" i="5"/>
  <c r="AB24" i="5"/>
  <c r="N26" i="5" s="1"/>
  <c r="Y27" i="5"/>
  <c r="X5" i="5"/>
  <c r="X7" i="6"/>
  <c r="Z13" i="6"/>
  <c r="Z11" i="5"/>
  <c r="N11" i="5" s="1"/>
  <c r="Z12" i="6"/>
  <c r="Z10" i="5"/>
  <c r="N7" i="5" s="1"/>
  <c r="AB28" i="6"/>
  <c r="AB26" i="6"/>
  <c r="Z29" i="6"/>
  <c r="AA28" i="6"/>
  <c r="Z27" i="6"/>
  <c r="Z28" i="6"/>
  <c r="X27" i="6"/>
  <c r="AA29" i="6"/>
  <c r="Y26" i="6"/>
  <c r="Y27" i="6"/>
  <c r="AA27" i="6"/>
  <c r="Z26" i="6"/>
  <c r="X28" i="6"/>
  <c r="W26" i="6"/>
  <c r="Y29" i="6"/>
  <c r="Y28" i="6"/>
  <c r="AB29" i="6"/>
  <c r="X26" i="6"/>
  <c r="AB27" i="6"/>
  <c r="W27" i="6"/>
  <c r="AA26" i="6"/>
  <c r="X5" i="6"/>
  <c r="X111" i="1"/>
  <c r="X8" i="8" s="1"/>
  <c r="X3" i="5"/>
  <c r="Z11" i="6"/>
  <c r="Z9" i="5"/>
  <c r="X6" i="6"/>
  <c r="X4" i="5"/>
  <c r="Q80" i="8" l="1"/>
  <c r="N40" i="5"/>
  <c r="Q86" i="8"/>
  <c r="G94" i="5"/>
  <c r="Q53" i="8"/>
  <c r="Q51" i="8"/>
  <c r="Q45" i="8"/>
  <c r="Q82" i="8"/>
  <c r="Q49" i="8"/>
  <c r="Q90" i="8"/>
  <c r="N20" i="5"/>
  <c r="O92" i="5"/>
  <c r="G96" i="5"/>
  <c r="N36" i="5"/>
  <c r="N34" i="5"/>
  <c r="N24" i="5"/>
  <c r="N28" i="5"/>
  <c r="I94" i="5" s="1"/>
  <c r="N18" i="5"/>
  <c r="N32" i="5"/>
  <c r="K88" i="5" s="1"/>
  <c r="Q88" i="8"/>
  <c r="Q47" i="8"/>
  <c r="Q43" i="8"/>
  <c r="AM106" i="1"/>
  <c r="N9" i="8" s="1"/>
  <c r="N25" i="8" s="1"/>
  <c r="N29" i="8" s="1"/>
  <c r="AL106" i="1"/>
  <c r="N7" i="8" s="1"/>
  <c r="N19" i="8" s="1"/>
  <c r="AN106" i="1"/>
  <c r="N11" i="8" s="1"/>
  <c r="N31" i="8" s="1"/>
  <c r="N35" i="8" s="1"/>
  <c r="X11" i="8"/>
  <c r="X9" i="5"/>
  <c r="X11" i="6"/>
  <c r="X9" i="8"/>
  <c r="X7" i="5"/>
  <c r="X9" i="6"/>
  <c r="I53" i="8"/>
  <c r="I43" i="8"/>
  <c r="I80" i="8"/>
  <c r="I49" i="8"/>
  <c r="I45" i="8"/>
  <c r="I51" i="8"/>
  <c r="G55" i="5"/>
  <c r="I55" i="5"/>
  <c r="G88" i="5"/>
  <c r="I104" i="5"/>
  <c r="G102" i="5"/>
  <c r="K104" i="5"/>
  <c r="K100" i="5"/>
  <c r="I102" i="5"/>
  <c r="G98" i="5"/>
  <c r="K98" i="5"/>
  <c r="K102" i="5"/>
  <c r="O90" i="5"/>
  <c r="G90" i="5"/>
  <c r="G51" i="5"/>
  <c r="X116" i="1"/>
  <c r="X13" i="8" s="1"/>
  <c r="X115" i="1"/>
  <c r="X12" i="8" s="1"/>
  <c r="X6" i="5"/>
  <c r="X8" i="6"/>
  <c r="N7" i="6" s="1"/>
  <c r="N19" i="6" s="1"/>
  <c r="O86" i="5"/>
  <c r="G86" i="5"/>
  <c r="G53" i="5"/>
  <c r="G49" i="5"/>
  <c r="G92" i="5"/>
  <c r="O88" i="5"/>
  <c r="Q88" i="5" l="1"/>
  <c r="Q86" i="5"/>
  <c r="Q53" i="5"/>
  <c r="Q59" i="5"/>
  <c r="Q57" i="5"/>
  <c r="K96" i="5"/>
  <c r="I96" i="5"/>
  <c r="K94" i="5"/>
  <c r="I92" i="5"/>
  <c r="Q55" i="5"/>
  <c r="Q51" i="5"/>
  <c r="Q49" i="5"/>
  <c r="Q72" i="8"/>
  <c r="Q109" i="8"/>
  <c r="N21" i="6"/>
  <c r="N23" i="8"/>
  <c r="G80" i="8"/>
  <c r="G43" i="8"/>
  <c r="G72" i="8" s="1"/>
  <c r="G109" i="8"/>
  <c r="I51" i="5"/>
  <c r="I59" i="5"/>
  <c r="I57" i="5"/>
  <c r="N96" i="5"/>
  <c r="N59" i="5"/>
  <c r="N55" i="5"/>
  <c r="L57" i="5"/>
  <c r="N57" i="5"/>
  <c r="L59" i="5"/>
  <c r="I109" i="8"/>
  <c r="I72" i="8"/>
  <c r="K86" i="5"/>
  <c r="N94" i="5"/>
  <c r="I88" i="5"/>
  <c r="L49" i="5"/>
  <c r="I86" i="5"/>
  <c r="I53" i="5"/>
  <c r="L53" i="5"/>
  <c r="L51" i="5"/>
  <c r="K92" i="5"/>
  <c r="N53" i="5"/>
  <c r="N90" i="5"/>
  <c r="N88" i="5"/>
  <c r="N92" i="5"/>
  <c r="N86" i="5"/>
  <c r="I90" i="5"/>
  <c r="I49" i="5"/>
  <c r="N49" i="5"/>
  <c r="N51" i="5"/>
  <c r="L55" i="5"/>
  <c r="K90" i="5"/>
  <c r="G78" i="5"/>
  <c r="G115" i="5"/>
  <c r="X12" i="6"/>
  <c r="N9" i="6" s="1"/>
  <c r="X10" i="5"/>
  <c r="O115" i="5"/>
  <c r="X11" i="5"/>
  <c r="X13" i="6"/>
  <c r="N11" i="6" s="1"/>
  <c r="Q115" i="5" l="1"/>
  <c r="I115" i="5"/>
  <c r="Q78" i="5"/>
  <c r="N31" i="6"/>
  <c r="N33" i="6"/>
  <c r="N27" i="6"/>
  <c r="N25" i="6"/>
  <c r="I78" i="5"/>
  <c r="G51" i="6"/>
  <c r="G90" i="6"/>
  <c r="G53" i="6"/>
  <c r="G49" i="6"/>
  <c r="G88" i="6"/>
  <c r="I53" i="6"/>
  <c r="I49" i="6"/>
  <c r="I88" i="6"/>
  <c r="I51" i="6"/>
  <c r="I90" i="6"/>
  <c r="L78" i="5"/>
  <c r="K115" i="5"/>
  <c r="N115" i="5"/>
  <c r="N78" i="5"/>
  <c r="G84" i="6" l="1"/>
  <c r="G82" i="6"/>
  <c r="G80" i="6"/>
  <c r="G86" i="6"/>
  <c r="O82" i="6"/>
  <c r="K80" i="6"/>
  <c r="K82" i="6"/>
  <c r="O86" i="6"/>
  <c r="O80" i="6"/>
  <c r="K84" i="6"/>
  <c r="K86" i="6"/>
  <c r="O84" i="6"/>
  <c r="G47" i="6"/>
  <c r="G43" i="6"/>
  <c r="G45" i="6"/>
  <c r="I82" i="6"/>
  <c r="I47" i="6"/>
  <c r="I80" i="6"/>
  <c r="I86" i="6"/>
  <c r="I84" i="6"/>
  <c r="I43" i="6"/>
  <c r="I45" i="6"/>
  <c r="I109" i="6" l="1"/>
  <c r="G72" i="6"/>
  <c r="I72" i="6"/>
  <c r="G109" i="6"/>
  <c r="K109" i="6"/>
  <c r="O109" i="6"/>
</calcChain>
</file>

<file path=xl/comments1.xml><?xml version="1.0" encoding="utf-8"?>
<comments xmlns="http://schemas.openxmlformats.org/spreadsheetml/2006/main">
  <authors>
    <author>Maurer</author>
  </authors>
  <commentList>
    <comment ref="L73" authorId="0">
      <text>
        <r>
          <rPr>
            <sz val="9"/>
            <color indexed="81"/>
            <rFont val="Tahoma"/>
            <family val="2"/>
          </rPr>
          <t xml:space="preserve">Bei </t>
        </r>
        <r>
          <rPr>
            <b/>
            <sz val="9"/>
            <color indexed="81"/>
            <rFont val="Tahoma"/>
            <family val="2"/>
          </rPr>
          <t>Einzelraum-Lüftungsgeräten</t>
        </r>
        <r>
          <rPr>
            <sz val="9"/>
            <color indexed="81"/>
            <rFont val="Tahoma"/>
            <family val="2"/>
          </rPr>
          <t xml:space="preserve">: auswählen in welchen Räumen Geräte verbaut sind!
</t>
        </r>
      </text>
    </comment>
    <comment ref="L74"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75"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76"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77"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78"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79"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80"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81"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82"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83"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84"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85"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86"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87"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88"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L90" authorId="0">
      <text>
        <r>
          <rPr>
            <sz val="9"/>
            <color indexed="81"/>
            <rFont val="Tahoma"/>
            <family val="2"/>
          </rPr>
          <t xml:space="preserve">Bei </t>
        </r>
        <r>
          <rPr>
            <b/>
            <sz val="9"/>
            <color indexed="81"/>
            <rFont val="Tahoma"/>
            <family val="2"/>
          </rPr>
          <t>Einzelraum-Lüftungsgeräten</t>
        </r>
        <r>
          <rPr>
            <sz val="9"/>
            <color indexed="81"/>
            <rFont val="Tahoma"/>
            <family val="2"/>
          </rPr>
          <t xml:space="preserve">: auswählen in welchen Räumen Geräte verbaut sind!
</t>
        </r>
      </text>
    </comment>
    <comment ref="L91"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91" authorId="0">
      <text>
        <r>
          <rPr>
            <sz val="9"/>
            <color indexed="81"/>
            <rFont val="Tahoma"/>
            <family val="2"/>
          </rPr>
          <t xml:space="preserve">Faktor zur Aufteilung der Zuluftvolumenströme
</t>
        </r>
      </text>
    </comment>
    <comment ref="L92"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92" authorId="0">
      <text>
        <r>
          <rPr>
            <sz val="9"/>
            <color indexed="81"/>
            <rFont val="Tahoma"/>
            <family val="2"/>
          </rPr>
          <t xml:space="preserve">Faktor zur Aufteilung der Zuluftvolumenströme
</t>
        </r>
      </text>
    </comment>
    <comment ref="L93"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93" authorId="0">
      <text>
        <r>
          <rPr>
            <sz val="9"/>
            <color indexed="81"/>
            <rFont val="Tahoma"/>
            <family val="2"/>
          </rPr>
          <t xml:space="preserve">Faktor zur Aufteilung der Zuluftvolumenströme
</t>
        </r>
      </text>
    </comment>
    <comment ref="A94" authorId="0">
      <text>
        <r>
          <rPr>
            <sz val="9"/>
            <color indexed="81"/>
            <rFont val="Tahoma"/>
            <charset val="1"/>
          </rPr>
          <t xml:space="preserve">Faktor zur Auslegung der Luftvolumenströme im Sonderfall Einzelraum-Lüftungsgeräte
</t>
        </r>
      </text>
    </comment>
    <comment ref="L94"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94" authorId="0">
      <text>
        <r>
          <rPr>
            <sz val="9"/>
            <color indexed="81"/>
            <rFont val="Tahoma"/>
            <family val="2"/>
          </rPr>
          <t xml:space="preserve">Faktor zur Aufteilung der Zuluftvolumenströme
</t>
        </r>
      </text>
    </comment>
    <comment ref="L95"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95" authorId="0">
      <text>
        <r>
          <rPr>
            <sz val="9"/>
            <color indexed="81"/>
            <rFont val="Tahoma"/>
            <family val="2"/>
          </rPr>
          <t xml:space="preserve">Faktor zur Aufteilung der Zuluftvolumenströme
</t>
        </r>
      </text>
    </comment>
    <comment ref="L96"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96" authorId="0">
      <text>
        <r>
          <rPr>
            <sz val="9"/>
            <color indexed="81"/>
            <rFont val="Tahoma"/>
            <family val="2"/>
          </rPr>
          <t xml:space="preserve">Faktor zur Aufteilung der Zuluftvolumenströme
</t>
        </r>
      </text>
    </comment>
    <comment ref="L97"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97" authorId="0">
      <text>
        <r>
          <rPr>
            <sz val="9"/>
            <color indexed="81"/>
            <rFont val="Tahoma"/>
            <family val="2"/>
          </rPr>
          <t xml:space="preserve">Faktor zur Aufteilung der Zuluftvolumenströme
</t>
        </r>
      </text>
    </comment>
    <comment ref="L98"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98" authorId="0">
      <text>
        <r>
          <rPr>
            <sz val="9"/>
            <color indexed="81"/>
            <rFont val="Tahoma"/>
            <family val="2"/>
          </rPr>
          <t xml:space="preserve">Faktor zur Aufteilung der Zuluftvolumenströme
</t>
        </r>
      </text>
    </comment>
    <comment ref="L99"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99" authorId="0">
      <text>
        <r>
          <rPr>
            <sz val="9"/>
            <color indexed="81"/>
            <rFont val="Tahoma"/>
            <family val="2"/>
          </rPr>
          <t xml:space="preserve">Faktor zur Aufteilung der Zuluftvolumenströme
</t>
        </r>
      </text>
    </comment>
    <comment ref="L100"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100" authorId="0">
      <text>
        <r>
          <rPr>
            <sz val="9"/>
            <color indexed="81"/>
            <rFont val="Tahoma"/>
            <family val="2"/>
          </rPr>
          <t xml:space="preserve">Faktor zur Aufteilung der Zuluftvolumenströme
</t>
        </r>
      </text>
    </comment>
    <comment ref="L101"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101" authorId="0">
      <text>
        <r>
          <rPr>
            <sz val="9"/>
            <color indexed="81"/>
            <rFont val="Tahoma"/>
            <family val="2"/>
          </rPr>
          <t xml:space="preserve">Faktor zur Aufteilung der Zuluftvolumenströme
</t>
        </r>
      </text>
    </comment>
    <comment ref="L102"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102" authorId="0">
      <text>
        <r>
          <rPr>
            <sz val="9"/>
            <color indexed="81"/>
            <rFont val="Tahoma"/>
            <family val="2"/>
          </rPr>
          <t xml:space="preserve">Faktor zur Aufteilung der Zuluftvolumenströme
</t>
        </r>
      </text>
    </comment>
    <comment ref="L103"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103" authorId="0">
      <text>
        <r>
          <rPr>
            <sz val="9"/>
            <color indexed="81"/>
            <rFont val="Tahoma"/>
            <family val="2"/>
          </rPr>
          <t xml:space="preserve">Faktor zur Aufteilung der Zuluftvolumenströme
</t>
        </r>
      </text>
    </comment>
    <comment ref="L104"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104" authorId="0">
      <text>
        <r>
          <rPr>
            <sz val="9"/>
            <color indexed="81"/>
            <rFont val="Tahoma"/>
            <family val="2"/>
          </rPr>
          <t xml:space="preserve">Faktor zur Aufteilung der Zuluftvolumenströme
</t>
        </r>
      </text>
    </comment>
    <comment ref="L105" authorId="0">
      <text>
        <r>
          <rPr>
            <b/>
            <sz val="9"/>
            <color indexed="81"/>
            <rFont val="Tahoma"/>
            <family val="2"/>
          </rPr>
          <t xml:space="preserve">!Nur bei Einzleraumlüftungsgeräten!
</t>
        </r>
        <r>
          <rPr>
            <sz val="9"/>
            <color indexed="81"/>
            <rFont val="Tahoma"/>
            <family val="2"/>
          </rPr>
          <t>ja: durch R-LG belüftet
nein: freie Lüftung</t>
        </r>
        <r>
          <rPr>
            <b/>
            <sz val="9"/>
            <color indexed="81"/>
            <rFont val="Tahoma"/>
            <family val="2"/>
          </rPr>
          <t xml:space="preserve">
</t>
        </r>
      </text>
    </comment>
    <comment ref="P105" authorId="0">
      <text>
        <r>
          <rPr>
            <sz val="9"/>
            <color indexed="81"/>
            <rFont val="Tahoma"/>
            <family val="2"/>
          </rPr>
          <t xml:space="preserve">Faktor zur Aufteilung der Zuluftvolumenströme
</t>
        </r>
      </text>
    </comment>
  </commentList>
</comments>
</file>

<file path=xl/sharedStrings.xml><?xml version="1.0" encoding="utf-8"?>
<sst xmlns="http://schemas.openxmlformats.org/spreadsheetml/2006/main" count="1731" uniqueCount="489">
  <si>
    <t>nach DIN 1946-6:2009-05</t>
  </si>
  <si>
    <t>Allgemeine Angaben zum Projekt:</t>
  </si>
  <si>
    <t>Bauherr:</t>
  </si>
  <si>
    <t>Straße:</t>
  </si>
  <si>
    <t>PLZ:</t>
  </si>
  <si>
    <t>Ort:</t>
  </si>
  <si>
    <t>Telefon:</t>
  </si>
  <si>
    <t>Fax:</t>
  </si>
  <si>
    <t>Email:</t>
  </si>
  <si>
    <t>Objekt:</t>
  </si>
  <si>
    <t>Name:</t>
  </si>
  <si>
    <t>Name/Bezeichnung:</t>
  </si>
  <si>
    <t>Ansprechpartner:</t>
  </si>
  <si>
    <t>Projektname:</t>
  </si>
  <si>
    <t>Planer:</t>
  </si>
  <si>
    <t>Datum:</t>
  </si>
  <si>
    <t>Version:</t>
  </si>
  <si>
    <t>Angaben zum Objekt:</t>
  </si>
  <si>
    <t>Gebäudedaten:</t>
  </si>
  <si>
    <t>Gebäudetyp:</t>
  </si>
  <si>
    <t>Gebäudelage:</t>
  </si>
  <si>
    <t>Anzahl Wohnungen:</t>
  </si>
  <si>
    <t>Anzahl Geschosse:</t>
  </si>
  <si>
    <t>Gebäudehöhe:</t>
  </si>
  <si>
    <t>m</t>
  </si>
  <si>
    <t>m²</t>
  </si>
  <si>
    <t>m³</t>
  </si>
  <si>
    <r>
      <t>Fläche der Nutzungseinheit A</t>
    </r>
    <r>
      <rPr>
        <vertAlign val="subscript"/>
        <sz val="10"/>
        <rFont val="Arial"/>
        <family val="2"/>
      </rPr>
      <t>NE</t>
    </r>
    <r>
      <rPr>
        <sz val="10"/>
        <rFont val="Arial"/>
        <family val="2"/>
      </rPr>
      <t>:</t>
    </r>
  </si>
  <si>
    <r>
      <t>Luftvolumen der Nutzungseinheit V</t>
    </r>
    <r>
      <rPr>
        <vertAlign val="subscript"/>
        <sz val="10"/>
        <rFont val="Arial"/>
        <family val="2"/>
      </rPr>
      <t>NE</t>
    </r>
    <r>
      <rPr>
        <sz val="10"/>
        <rFont val="Arial"/>
        <family val="2"/>
      </rPr>
      <t>:</t>
    </r>
  </si>
  <si>
    <t>Wärmeschutz:</t>
  </si>
  <si>
    <t>Luftdichtheit:</t>
  </si>
  <si>
    <t>Messwert vorhanden:</t>
  </si>
  <si>
    <r>
      <t>h</t>
    </r>
    <r>
      <rPr>
        <vertAlign val="superscript"/>
        <sz val="10"/>
        <rFont val="Arial"/>
        <family val="2"/>
      </rPr>
      <t>-1</t>
    </r>
  </si>
  <si>
    <t>gemessene Werte:</t>
  </si>
  <si>
    <t>Vorgabewerte:</t>
  </si>
  <si>
    <t>Druckexponent n:</t>
  </si>
  <si>
    <r>
      <t>Luftwechsel n</t>
    </r>
    <r>
      <rPr>
        <vertAlign val="subscript"/>
        <sz val="10"/>
        <rFont val="Arial"/>
        <family val="2"/>
      </rPr>
      <t>50</t>
    </r>
    <r>
      <rPr>
        <sz val="10"/>
        <rFont val="Arial"/>
        <family val="2"/>
      </rPr>
      <t>:</t>
    </r>
  </si>
  <si>
    <t>-</t>
  </si>
  <si>
    <t>wenn ja</t>
  </si>
  <si>
    <t>wenn nein</t>
  </si>
  <si>
    <t>Einfamilienhaus</t>
  </si>
  <si>
    <t>Mehrfamilienhaus</t>
  </si>
  <si>
    <t>windschwach</t>
  </si>
  <si>
    <t>windstark</t>
  </si>
  <si>
    <t>hoch</t>
  </si>
  <si>
    <t>ja</t>
  </si>
  <si>
    <t>nein</t>
  </si>
  <si>
    <t>Ergebnisse:</t>
  </si>
  <si>
    <t>Gültigkeiten:</t>
  </si>
  <si>
    <r>
      <t>f</t>
    </r>
    <r>
      <rPr>
        <vertAlign val="subscript"/>
        <sz val="10"/>
        <rFont val="Arial"/>
        <family val="2"/>
      </rPr>
      <t>WS</t>
    </r>
  </si>
  <si>
    <t>WSch = hoch</t>
  </si>
  <si>
    <t>WSch = gering</t>
  </si>
  <si>
    <t>gering</t>
  </si>
  <si>
    <t>lichte Raumhöhe</t>
  </si>
  <si>
    <r>
      <t>q</t>
    </r>
    <r>
      <rPr>
        <b/>
        <vertAlign val="subscript"/>
        <sz val="12"/>
        <rFont val="Arial"/>
        <family val="2"/>
      </rPr>
      <t>v,ges,NE,FL</t>
    </r>
    <r>
      <rPr>
        <b/>
        <sz val="12"/>
        <rFont val="Arial"/>
        <family val="2"/>
      </rPr>
      <t>:</t>
    </r>
  </si>
  <si>
    <t>m³ / (h * NE)</t>
  </si>
  <si>
    <r>
      <t>q</t>
    </r>
    <r>
      <rPr>
        <b/>
        <vertAlign val="subscript"/>
        <sz val="12"/>
        <rFont val="Arial"/>
        <family val="2"/>
      </rPr>
      <t>v,Inf,wirk</t>
    </r>
    <r>
      <rPr>
        <b/>
        <sz val="12"/>
        <rFont val="Arial"/>
        <family val="2"/>
      </rPr>
      <t>:</t>
    </r>
  </si>
  <si>
    <t>Zwischenergebnisse:</t>
  </si>
  <si>
    <r>
      <t>A</t>
    </r>
    <r>
      <rPr>
        <vertAlign val="subscript"/>
        <sz val="10"/>
        <rFont val="Arial"/>
        <family val="2"/>
      </rPr>
      <t>NE</t>
    </r>
  </si>
  <si>
    <r>
      <t>f</t>
    </r>
    <r>
      <rPr>
        <vertAlign val="subscript"/>
        <sz val="10"/>
        <rFont val="Arial"/>
        <family val="2"/>
      </rPr>
      <t>wirk,komp</t>
    </r>
  </si>
  <si>
    <r>
      <t>f</t>
    </r>
    <r>
      <rPr>
        <vertAlign val="subscript"/>
        <sz val="10"/>
        <rFont val="Arial"/>
        <family val="2"/>
      </rPr>
      <t>wirk,Lage</t>
    </r>
  </si>
  <si>
    <t>n</t>
  </si>
  <si>
    <t>n50</t>
  </si>
  <si>
    <t>Kat = A</t>
  </si>
  <si>
    <t>Kat = B</t>
  </si>
  <si>
    <t>Kat = C</t>
  </si>
  <si>
    <t>Bestand</t>
  </si>
  <si>
    <r>
      <t>Vorgabe n</t>
    </r>
    <r>
      <rPr>
        <vertAlign val="subscript"/>
        <sz val="10"/>
        <rFont val="Arial"/>
        <family val="2"/>
      </rPr>
      <t>50</t>
    </r>
  </si>
  <si>
    <t>freie Lüftung</t>
  </si>
  <si>
    <t>ventilatorgestützte Lüftung</t>
  </si>
  <si>
    <t>Nutzungseinheit:</t>
  </si>
  <si>
    <t>Neubau</t>
  </si>
  <si>
    <t>eingeschossig</t>
  </si>
  <si>
    <t>mehrgeschossig</t>
  </si>
  <si>
    <t>querlüftung</t>
  </si>
  <si>
    <t>schachtlüftung</t>
  </si>
  <si>
    <t>vent.Lüftung</t>
  </si>
  <si>
    <t>abluft</t>
  </si>
  <si>
    <t>zuluft</t>
  </si>
  <si>
    <t>ab-/zuluft</t>
  </si>
  <si>
    <r>
      <t xml:space="preserve">Auslegungs-Differenzdruck </t>
    </r>
    <r>
      <rPr>
        <sz val="10"/>
        <rFont val="Arial"/>
        <family val="2"/>
      </rPr>
      <t>Δ</t>
    </r>
    <r>
      <rPr>
        <sz val="10"/>
        <rFont val="Arial"/>
        <family val="2"/>
      </rPr>
      <t>p</t>
    </r>
  </si>
  <si>
    <r>
      <t xml:space="preserve">Vorgabe </t>
    </r>
    <r>
      <rPr>
        <sz val="10"/>
        <rFont val="Arial"/>
        <family val="2"/>
      </rPr>
      <t>Δ</t>
    </r>
    <r>
      <rPr>
        <sz val="10"/>
        <rFont val="Arial"/>
        <family val="2"/>
      </rPr>
      <t>p</t>
    </r>
  </si>
  <si>
    <t>Vorgabe n</t>
  </si>
  <si>
    <t>Maßnahmen erforderlich:</t>
  </si>
  <si>
    <t>Erläuterungen:</t>
  </si>
  <si>
    <t>Eingabe erforderlich / möglich</t>
  </si>
  <si>
    <t>keine Eingabe möglich / Ausgabe</t>
  </si>
  <si>
    <t>Fehler in der Ausgabe / fehlende Eingaben</t>
  </si>
  <si>
    <t>zur Eingabe:</t>
  </si>
  <si>
    <t>Generell erfolgt die Eingabe wie beim Lesen, d.h. zunächst von links nach rechts und anschließend von oben nach unten</t>
  </si>
  <si>
    <t>Stand:</t>
  </si>
  <si>
    <t>Allgemeine Eingabe:</t>
  </si>
  <si>
    <t>Lüftungsplaner:</t>
  </si>
  <si>
    <t>Lüftung zum Feuchteschutz</t>
  </si>
  <si>
    <t>wirksame Lüftung durch Infiltration</t>
  </si>
  <si>
    <t>ein- /mehrgeschossig:</t>
  </si>
  <si>
    <r>
      <t>mittlere Raumhöhe h</t>
    </r>
    <r>
      <rPr>
        <vertAlign val="subscript"/>
        <sz val="10"/>
        <rFont val="Arial"/>
        <family val="2"/>
      </rPr>
      <t>NE</t>
    </r>
    <r>
      <rPr>
        <sz val="10"/>
        <rFont val="Arial"/>
        <family val="2"/>
      </rPr>
      <t>:</t>
    </r>
  </si>
  <si>
    <t>Modernisierung</t>
  </si>
  <si>
    <t>A</t>
  </si>
  <si>
    <t>Aachen</t>
  </si>
  <si>
    <t>Friesland</t>
  </si>
  <si>
    <t>Mettmann</t>
  </si>
  <si>
    <t>Salzgitter</t>
  </si>
  <si>
    <t>Ahrweiler</t>
  </si>
  <si>
    <t>Fulda</t>
  </si>
  <si>
    <t>Miesbach</t>
  </si>
  <si>
    <t>Salzlandkreis</t>
  </si>
  <si>
    <t>Alb-Donau-Kreis</t>
  </si>
  <si>
    <t>G</t>
  </si>
  <si>
    <t>Minden-Lübbecke</t>
  </si>
  <si>
    <t>Schaumberg</t>
  </si>
  <si>
    <t>Altmarkkreis Salzwedel</t>
  </si>
  <si>
    <t>Garmisch-Partenkirchen</t>
  </si>
  <si>
    <t>Mittlerer Erzgebirgskreis</t>
  </si>
  <si>
    <t>Schleswig-Flensburg</t>
  </si>
  <si>
    <t>Alzey-Worms</t>
  </si>
  <si>
    <t>Gifhorn</t>
  </si>
  <si>
    <t>Mittweida</t>
  </si>
  <si>
    <t>Schmalkalden-Meiningen</t>
  </si>
  <si>
    <t>Ammerland</t>
  </si>
  <si>
    <t>Görlitz</t>
  </si>
  <si>
    <t>Mönchengladbach</t>
  </si>
  <si>
    <t>Schwalm-Eder-Kreis</t>
  </si>
  <si>
    <t>Annaberg</t>
  </si>
  <si>
    <t>Goslar</t>
  </si>
  <si>
    <t>Münster</t>
  </si>
  <si>
    <t>Schwerin</t>
  </si>
  <si>
    <t>Aue-Schwarzenberg</t>
  </si>
  <si>
    <t>Gotha</t>
  </si>
  <si>
    <t>Müritz</t>
  </si>
  <si>
    <t>Segeberg</t>
  </si>
  <si>
    <t>Aurich</t>
  </si>
  <si>
    <t>Grafschaft Bentheim</t>
  </si>
  <si>
    <t>N</t>
  </si>
  <si>
    <t>Siegen-Wittgenstein</t>
  </si>
  <si>
    <t>B</t>
  </si>
  <si>
    <t>Greifwald</t>
  </si>
  <si>
    <t>Neubrandenburg</t>
  </si>
  <si>
    <t>Soest</t>
  </si>
  <si>
    <t>Bad Doberan</t>
  </si>
  <si>
    <t>Güstrow</t>
  </si>
  <si>
    <t>Neumünster</t>
  </si>
  <si>
    <t>Soltau-Fallingbostel</t>
  </si>
  <si>
    <t>Bad Kreuznach</t>
  </si>
  <si>
    <t>Gütersloh</t>
  </si>
  <si>
    <t>Nienburg (Weser)</t>
  </si>
  <si>
    <t>Sonneberg</t>
  </si>
  <si>
    <t>Barnim</t>
  </si>
  <si>
    <t>H</t>
  </si>
  <si>
    <t>Nordfriesland</t>
  </si>
  <si>
    <t>St. Wendel</t>
  </si>
  <si>
    <t>Bautzen</t>
  </si>
  <si>
    <t>Hamburg</t>
  </si>
  <si>
    <t>Nordvorpommern</t>
  </si>
  <si>
    <t>Stade</t>
  </si>
  <si>
    <t>Berchtesgadener Land</t>
  </si>
  <si>
    <t>Hammeln-Pyrmont</t>
  </si>
  <si>
    <t>Nordwestmecklenburg</t>
  </si>
  <si>
    <t>Steinburg</t>
  </si>
  <si>
    <t>Bernkastel-Wittlich</t>
  </si>
  <si>
    <t xml:space="preserve">Hamm </t>
  </si>
  <si>
    <t>O</t>
  </si>
  <si>
    <t>Steinfurt</t>
  </si>
  <si>
    <t>Bielefeld</t>
  </si>
  <si>
    <t>Harburg</t>
  </si>
  <si>
    <t>Oberallgäu</t>
  </si>
  <si>
    <t>Stendal</t>
  </si>
  <si>
    <t>Birkenhain</t>
  </si>
  <si>
    <t>Harz</t>
  </si>
  <si>
    <t>Oberbergischer Kreis</t>
  </si>
  <si>
    <t>Stollberg</t>
  </si>
  <si>
    <t>Börde</t>
  </si>
  <si>
    <t>Havelland</t>
  </si>
  <si>
    <t>Oberhavel</t>
  </si>
  <si>
    <t>Stormarn</t>
  </si>
  <si>
    <t>Borken</t>
  </si>
  <si>
    <t>Heinsberg</t>
  </si>
  <si>
    <t xml:space="preserve">Oldenburg </t>
  </si>
  <si>
    <t>Stralsund</t>
  </si>
  <si>
    <t>Bottrop</t>
  </si>
  <si>
    <t>Helmstedt</t>
  </si>
  <si>
    <t>Olpe</t>
  </si>
  <si>
    <t>T</t>
  </si>
  <si>
    <t>Breisgau-Hochschwarzwald</t>
  </si>
  <si>
    <t>Herford</t>
  </si>
  <si>
    <t>Osnabrück</t>
  </si>
  <si>
    <t>Tirschenreuth</t>
  </si>
  <si>
    <t>Bremen</t>
  </si>
  <si>
    <t>Herzogtum Lauenburg</t>
  </si>
  <si>
    <t>Ostallgäu</t>
  </si>
  <si>
    <t>Trier-Saarburg</t>
  </si>
  <si>
    <t>Bremerhaven</t>
  </si>
  <si>
    <t>Hildesheim</t>
  </si>
  <si>
    <t>Osterholz</t>
  </si>
  <si>
    <t>U</t>
  </si>
  <si>
    <t>C</t>
  </si>
  <si>
    <t>Hochsauerlandkreis</t>
  </si>
  <si>
    <t>Ostholstein</t>
  </si>
  <si>
    <t>Uckermark</t>
  </si>
  <si>
    <t>Cloppenburg</t>
  </si>
  <si>
    <t>Hof</t>
  </si>
  <si>
    <t>Ostprignitz-Ruppin</t>
  </si>
  <si>
    <t>Uecker-Randow</t>
  </si>
  <si>
    <t>Cochem-Zell</t>
  </si>
  <si>
    <t>Höxter</t>
  </si>
  <si>
    <t>Ostvorpommern</t>
  </si>
  <si>
    <t>Uelzen</t>
  </si>
  <si>
    <t>Coesfeld</t>
  </si>
  <si>
    <t>I</t>
  </si>
  <si>
    <t>P</t>
  </si>
  <si>
    <t>Unna</t>
  </si>
  <si>
    <t>Cuxhaven</t>
  </si>
  <si>
    <t>Ilm-Kreis</t>
  </si>
  <si>
    <t>Paderborn</t>
  </si>
  <si>
    <t>Unstrut-Haininch-Kreis</t>
  </si>
  <si>
    <t>D</t>
  </si>
  <si>
    <t>K</t>
  </si>
  <si>
    <t>Parchim</t>
  </si>
  <si>
    <t>V</t>
  </si>
  <si>
    <t>Delitzsch</t>
  </si>
  <si>
    <t>Kempten (Allgäu)</t>
  </si>
  <si>
    <t>Peine</t>
  </si>
  <si>
    <t>Vechta</t>
  </si>
  <si>
    <t>Delmenhorst</t>
  </si>
  <si>
    <t>Kiel</t>
  </si>
  <si>
    <t>Pinneberg</t>
  </si>
  <si>
    <t>Verden</t>
  </si>
  <si>
    <t>Demmin</t>
  </si>
  <si>
    <t>Kleve</t>
  </si>
  <si>
    <t>Plön</t>
  </si>
  <si>
    <t>Viersen</t>
  </si>
  <si>
    <t>Diepholz</t>
  </si>
  <si>
    <t>Kusel</t>
  </si>
  <si>
    <t>Prignitz</t>
  </si>
  <si>
    <t>Vogelsbergkreis</t>
  </si>
  <si>
    <t>Dithmarschen</t>
  </si>
  <si>
    <t>L</t>
  </si>
  <si>
    <t>R</t>
  </si>
  <si>
    <t>Vogtlandkreis</t>
  </si>
  <si>
    <t>Döbeln</t>
  </si>
  <si>
    <t>Leer</t>
  </si>
  <si>
    <t>Recklinghausen</t>
  </si>
  <si>
    <t>Vulkaneifel</t>
  </si>
  <si>
    <t>Donnersbergkreis</t>
  </si>
  <si>
    <t>Lippe</t>
  </si>
  <si>
    <t>Regen</t>
  </si>
  <si>
    <t>W</t>
  </si>
  <si>
    <t>Düren</t>
  </si>
  <si>
    <t>Löbau-Zittau</t>
  </si>
  <si>
    <t>Region Hannover</t>
  </si>
  <si>
    <t>Waldeck-Frankenberg</t>
  </si>
  <si>
    <t>E</t>
  </si>
  <si>
    <t>Lörrach</t>
  </si>
  <si>
    <t>Randsburg-Eckernförde</t>
  </si>
  <si>
    <t>Waldshut</t>
  </si>
  <si>
    <t>Eichsfeld</t>
  </si>
  <si>
    <t>Lübeck</t>
  </si>
  <si>
    <t>Reutlingen</t>
  </si>
  <si>
    <t>Warendorf</t>
  </si>
  <si>
    <t>Eifelkreis Bitburg-Prüm</t>
  </si>
  <si>
    <t>Lüchow-Dannenberg</t>
  </si>
  <si>
    <t>Rhein-Erft-Kreis</t>
  </si>
  <si>
    <t>Weißeritzkreis</t>
  </si>
  <si>
    <t>Emden</t>
  </si>
  <si>
    <t>Ludwigslust</t>
  </si>
  <si>
    <t>Rhein-Hunsrück-Kreis</t>
  </si>
  <si>
    <t>Wesel</t>
  </si>
  <si>
    <t>Emsland</t>
  </si>
  <si>
    <t>Lüneburg</t>
  </si>
  <si>
    <t>Rhein-Kreis Neuss</t>
  </si>
  <si>
    <t>Wesermarsch</t>
  </si>
  <si>
    <t>Ennepe-Ruhr-Kreis</t>
  </si>
  <si>
    <t>M</t>
  </si>
  <si>
    <t>Riesa-Großenhain</t>
  </si>
  <si>
    <t>Westerwaldkreis</t>
  </si>
  <si>
    <t>Euskirchen</t>
  </si>
  <si>
    <t>Mainz-Bingen</t>
  </si>
  <si>
    <t>Rostock</t>
  </si>
  <si>
    <t>Wilhelmhaven</t>
  </si>
  <si>
    <t>F</t>
  </si>
  <si>
    <t>Märkischer Kreis</t>
  </si>
  <si>
    <t>Rotenburg (Wümme)</t>
  </si>
  <si>
    <t>Wismar</t>
  </si>
  <si>
    <t>Flensburg</t>
  </si>
  <si>
    <t>Märkisch-Oderland</t>
  </si>
  <si>
    <t>Rügen</t>
  </si>
  <si>
    <t>Wittmund</t>
  </si>
  <si>
    <t>Frankfurt (Oder)</t>
  </si>
  <si>
    <t>Mayen-Koblenz</t>
  </si>
  <si>
    <t>S</t>
  </si>
  <si>
    <t>Wolfenbüttel</t>
  </si>
  <si>
    <t>Freiberg</t>
  </si>
  <si>
    <t>Mecklenburg-Strelitz</t>
  </si>
  <si>
    <t>Saalekreis</t>
  </si>
  <si>
    <t>Wunsiedel i. Fichtelgebirge</t>
  </si>
  <si>
    <t>Freyung-Grafenau</t>
  </si>
  <si>
    <t>Meißen</t>
  </si>
  <si>
    <t>Sächische Schweiz</t>
  </si>
  <si>
    <t>windstarke Landkreise in Deutschland</t>
  </si>
  <si>
    <t>Neubau/Sanierung/Bestand:</t>
  </si>
  <si>
    <t>Art der Maßnahme:</t>
  </si>
  <si>
    <t>Querlüftung</t>
  </si>
  <si>
    <t>Querlüftung (FS)</t>
  </si>
  <si>
    <t>Schachtlüftung</t>
  </si>
  <si>
    <t>QL_FS ja?</t>
  </si>
  <si>
    <t>QL_ja?</t>
  </si>
  <si>
    <t>SL_ja?</t>
  </si>
  <si>
    <t>Raumtyp</t>
  </si>
  <si>
    <t>Fläche</t>
  </si>
  <si>
    <t>Küche, Kochnische</t>
  </si>
  <si>
    <t>Bad mit/ohne WC</t>
  </si>
  <si>
    <t>Duschraum</t>
  </si>
  <si>
    <t>WC</t>
  </si>
  <si>
    <t>Hausarbeitsraum</t>
  </si>
  <si>
    <t>Kellerraum</t>
  </si>
  <si>
    <t>Ablufträume</t>
  </si>
  <si>
    <t>Raumtypen Abluft</t>
  </si>
  <si>
    <t>Zulufträume</t>
  </si>
  <si>
    <t>Raumtypen Zuluft</t>
  </si>
  <si>
    <t>Arbeitszimmer</t>
  </si>
  <si>
    <t>Gästezimmer</t>
  </si>
  <si>
    <t>Wohnzimmer</t>
  </si>
  <si>
    <t>Esszimmer</t>
  </si>
  <si>
    <t>Kinderzimmer</t>
  </si>
  <si>
    <t>Schlafzimmer</t>
  </si>
  <si>
    <t>Gesamtfläche der Ablufträume:</t>
  </si>
  <si>
    <t>Gesamtfläche der Zulufträume:</t>
  </si>
  <si>
    <t>Raumbezeichnung</t>
  </si>
  <si>
    <t>Bestimmung der Gesamt-Außenluftvolumenströme:</t>
  </si>
  <si>
    <t>Lüftung zum Feuchteschutz:</t>
  </si>
  <si>
    <t>m³ / h</t>
  </si>
  <si>
    <t>Reduzierte Lüftung:</t>
  </si>
  <si>
    <t>Nennlüftung:</t>
  </si>
  <si>
    <t>Freie Lüftung:</t>
  </si>
  <si>
    <t>Prüfung Eingabe</t>
  </si>
  <si>
    <t>qv,ges,NE,FL</t>
  </si>
  <si>
    <t>Ergebnis:</t>
  </si>
  <si>
    <r>
      <t xml:space="preserve">0,5 x </t>
    </r>
    <r>
      <rPr>
        <sz val="10"/>
        <rFont val="Symbol"/>
        <family val="1"/>
        <charset val="2"/>
      </rPr>
      <t>å</t>
    </r>
    <r>
      <rPr>
        <sz val="10"/>
        <rFont val="Arial"/>
        <family val="2"/>
      </rPr>
      <t>qv,ges,R,FL</t>
    </r>
  </si>
  <si>
    <r>
      <t>å</t>
    </r>
    <r>
      <rPr>
        <sz val="10"/>
        <rFont val="Arial"/>
        <family val="2"/>
      </rPr>
      <t>qv,ges,R,ab,FL</t>
    </r>
  </si>
  <si>
    <t>qv,ges,FL</t>
  </si>
  <si>
    <t>qv,ges,NE,RL</t>
  </si>
  <si>
    <t>qv,ges,NE,NL</t>
  </si>
  <si>
    <t>qv,ges,NE,IL</t>
  </si>
  <si>
    <t>qv,ges,RL</t>
  </si>
  <si>
    <t>qv,ges,NL</t>
  </si>
  <si>
    <t>q</t>
  </si>
  <si>
    <t>=</t>
  </si>
  <si>
    <t>v,ges,NL</t>
  </si>
  <si>
    <t>v,ges,RL</t>
  </si>
  <si>
    <t>v,ges,FL</t>
  </si>
  <si>
    <t>freie Lüftung:</t>
  </si>
  <si>
    <t>Bestimmung der Luftvolumenströme durch lüftungstechnische Maßnahmen:</t>
  </si>
  <si>
    <t>Luftvolumenstrom durch Infiltration</t>
  </si>
  <si>
    <r>
      <t>V</t>
    </r>
    <r>
      <rPr>
        <vertAlign val="subscript"/>
        <sz val="10"/>
        <rFont val="Arial"/>
        <family val="2"/>
      </rPr>
      <t>NE (Ane*hne)</t>
    </r>
  </si>
  <si>
    <t>nach Tabelle 8:</t>
  </si>
  <si>
    <t>Lüftungssystem</t>
  </si>
  <si>
    <t>Schachtüftung</t>
  </si>
  <si>
    <t>Zu-/Abluft</t>
  </si>
  <si>
    <t>mit</t>
  </si>
  <si>
    <t>ohne</t>
  </si>
  <si>
    <t>Installationsschacht</t>
  </si>
  <si>
    <t>MFH</t>
  </si>
  <si>
    <t>EFH</t>
  </si>
  <si>
    <t>Abluft oder Zuluft</t>
  </si>
  <si>
    <t>Wohnungstyp</t>
  </si>
  <si>
    <t>alle NE</t>
  </si>
  <si>
    <t>ALD</t>
  </si>
  <si>
    <t>ÜLD</t>
  </si>
  <si>
    <t>Schacht</t>
  </si>
  <si>
    <t>Ventilator</t>
  </si>
  <si>
    <t>f(wirk,Komp)</t>
  </si>
  <si>
    <r>
      <t>Δ</t>
    </r>
    <r>
      <rPr>
        <sz val="10"/>
        <rFont val="Arial"/>
        <family val="2"/>
      </rPr>
      <t>p=</t>
    </r>
  </si>
  <si>
    <t>Querlftg.</t>
  </si>
  <si>
    <t>Schachtlftg.</t>
  </si>
  <si>
    <t>Windschutz</t>
  </si>
  <si>
    <t>ÜLD:</t>
  </si>
  <si>
    <t>ALD:</t>
  </si>
  <si>
    <t>Schacht:</t>
  </si>
  <si>
    <t>v,LTM,FL</t>
  </si>
  <si>
    <t>Art der geplanten Maßnahme:</t>
  </si>
  <si>
    <t>v,LTM,RL</t>
  </si>
  <si>
    <t>v,LTM,NL</t>
  </si>
  <si>
    <t>Zulufträume:</t>
  </si>
  <si>
    <t>AbLD</t>
  </si>
  <si>
    <t>FLD</t>
  </si>
  <si>
    <t>ZuLD</t>
  </si>
  <si>
    <t>Fläche:</t>
  </si>
  <si>
    <t>Raum:</t>
  </si>
  <si>
    <t>Berechnungstool zur freien Lüftung von Wohnungen</t>
  </si>
  <si>
    <r>
      <t>v,LTM</t>
    </r>
    <r>
      <rPr>
        <b/>
        <sz val="10"/>
        <rFont val="Arial"/>
        <family val="2"/>
      </rPr>
      <t>:</t>
    </r>
  </si>
  <si>
    <t>Summe Zulufträume:</t>
  </si>
  <si>
    <r>
      <t xml:space="preserve">å </t>
    </r>
    <r>
      <rPr>
        <b/>
        <sz val="10"/>
        <rFont val="Arial"/>
        <family val="2"/>
      </rPr>
      <t>q</t>
    </r>
  </si>
  <si>
    <t>Ablufträume:</t>
  </si>
  <si>
    <t>Summe Ablufträume:</t>
  </si>
  <si>
    <t>Angaben zu Ablufträumen:</t>
  </si>
  <si>
    <t>Angaben zu Zulufträumen:</t>
  </si>
  <si>
    <t>Anzahl Räume:</t>
  </si>
  <si>
    <t>bedingte/zwingende, zur Rechnung notwendige Eingabe erforderlich</t>
  </si>
  <si>
    <t>q(v,ges,NE,FL)</t>
  </si>
  <si>
    <t>q(v,Inf,wirk)</t>
  </si>
  <si>
    <t>Windschutzklasse:</t>
  </si>
  <si>
    <t>offen</t>
  </si>
  <si>
    <t>normal</t>
  </si>
  <si>
    <t>geschützt</t>
  </si>
  <si>
    <t>Berechnung f(wirk,Lage)</t>
  </si>
  <si>
    <r>
      <t>e</t>
    </r>
    <r>
      <rPr>
        <sz val="10"/>
        <rFont val="Arial"/>
        <family val="2"/>
      </rPr>
      <t>H</t>
    </r>
  </si>
  <si>
    <t>H(G) &lt;= 15m</t>
  </si>
  <si>
    <t>15m &lt; H(G) &lt;= 50m</t>
  </si>
  <si>
    <t>H(G) &gt;50m</t>
  </si>
  <si>
    <t>eA</t>
  </si>
  <si>
    <t>f(wirk,Lage):</t>
  </si>
  <si>
    <r>
      <t>e</t>
    </r>
    <r>
      <rPr>
        <sz val="10"/>
        <rFont val="Arial"/>
        <family val="2"/>
      </rPr>
      <t>H:</t>
    </r>
  </si>
  <si>
    <t>f(wirk,Lage)</t>
  </si>
  <si>
    <t>Berechnung:</t>
  </si>
  <si>
    <t>Höhenlage der Nutzungseinheit:</t>
  </si>
  <si>
    <t>0 bis 15 m</t>
  </si>
  <si>
    <t>15 bis 50 m</t>
  </si>
  <si>
    <t>über 50 m</t>
  </si>
  <si>
    <t>mehrgeschossig verbunden</t>
  </si>
  <si>
    <t>Berechnungstool zur Anwendung der Lüftungsnorm</t>
  </si>
  <si>
    <t>Geplante Lüftungstechnische Maßnahme:</t>
  </si>
  <si>
    <t>ventilatorgestützte Lüftung:</t>
  </si>
  <si>
    <t>Abluftsystem</t>
  </si>
  <si>
    <t>Zuluftsystem</t>
  </si>
  <si>
    <t>Zu-/Abluft-System</t>
  </si>
  <si>
    <t>AB_ja?</t>
  </si>
  <si>
    <t>ZU_ja?</t>
  </si>
  <si>
    <t>ZUAB_ja?</t>
  </si>
  <si>
    <t>Festgelegte Lüftungstechnischen Maßnahme:</t>
  </si>
  <si>
    <t>vent. Lüftung</t>
  </si>
  <si>
    <r>
      <t>å</t>
    </r>
    <r>
      <rPr>
        <b/>
        <sz val="10"/>
        <rFont val="Arial"/>
        <family val="2"/>
      </rPr>
      <t>qv,ges,R,ab,NL</t>
    </r>
  </si>
  <si>
    <t>qv,ges,IL</t>
  </si>
  <si>
    <t>Ventilatorgestützte Lüftung</t>
  </si>
  <si>
    <t>Festgelegtes System:</t>
  </si>
  <si>
    <t>v,ges,IL</t>
  </si>
  <si>
    <t>Intensivlüftung:</t>
  </si>
  <si>
    <t>Sauna/Fitnessraum</t>
  </si>
  <si>
    <t>Ab oder Zu im MFH</t>
  </si>
  <si>
    <t>mit Instl</t>
  </si>
  <si>
    <t>ohne Inst.</t>
  </si>
  <si>
    <t>Ventilator:</t>
  </si>
  <si>
    <t>mit Installationsschacht:</t>
  </si>
  <si>
    <t>v,LTM,IL</t>
  </si>
  <si>
    <t>Ein-/Mehrgesch.</t>
  </si>
  <si>
    <t>Install.schacht:</t>
  </si>
  <si>
    <t>Leitung</t>
  </si>
  <si>
    <t>vg Lüftung fRzu</t>
  </si>
  <si>
    <r>
      <t xml:space="preserve">f </t>
    </r>
    <r>
      <rPr>
        <vertAlign val="subscript"/>
        <sz val="10"/>
        <rFont val="Arial"/>
        <family val="2"/>
      </rPr>
      <t>R,zu</t>
    </r>
  </si>
  <si>
    <t>Legende:</t>
  </si>
  <si>
    <t>Abluftdurchlass (bei Schachtlüftung, Abluftsystem und Zu-/Abluftsystem)</t>
  </si>
  <si>
    <t>Zuluftdurchlass (bei Zuluftsystem und Zu-/Abluftsystem)</t>
  </si>
  <si>
    <t>Lüftungsschacht (bei Schachtlüftung und Zuluftsystem mit Schacht)</t>
  </si>
  <si>
    <t>Ventilatoren (bei ventilatorgestützter Lüftung)</t>
  </si>
  <si>
    <t>Außenluftdurchlass (bei freier Lüftung und Abluftsystem)</t>
  </si>
  <si>
    <t>Überström-Luftdurchlass (Luftdurchlässe zwischen den Räumen)</t>
  </si>
  <si>
    <t>Erklärung des Autors:</t>
  </si>
  <si>
    <t>Die im Rahmen dieser Berechnungshilfe durchgeführten Berechnungen stellen das Ergebnis einer sorgfältigen und gewissenhaften Überprüfung durch den Autor dar. Es wird jedoch ausdrücklich darauf hingewiesen, dass es sich um unverbindliche Berechnungen handelt. Der Nutzer ist daher verpflichtet, das Ergebnis - insbesondere in Bezug auf den konkreten Einzelfall des Bauvorhabens - zu überprüfen. Es erfolgt keine Plausibilitätsprüfung der Eingaben. Der Autor schließt eine Haftung für die Berechnungen aus.</t>
  </si>
  <si>
    <t>Ausgabe Freie Lüftung:</t>
  </si>
  <si>
    <t>Gesamt-Außenluftvolumenströme:</t>
  </si>
  <si>
    <t>Ausgabe Ventilatorgestützte Lüftung:</t>
  </si>
  <si>
    <t>Volumenströme Zulufträume:</t>
  </si>
  <si>
    <t>Volumenströme Ablufträume:</t>
  </si>
  <si>
    <t>Zwischenwerte (zur Weiterberchnung):</t>
  </si>
  <si>
    <t>Bestimmung Lüftungstechnische Maßnahme:</t>
  </si>
  <si>
    <t>Ab / Zu EFH</t>
  </si>
  <si>
    <t>fR,zu</t>
  </si>
  <si>
    <t>Schlaf-/Kinderzimmer</t>
  </si>
  <si>
    <t>Arbeits-/Ess-/Gästezim.</t>
  </si>
  <si>
    <t>Ergebnisse siehe:</t>
  </si>
  <si>
    <t>Anteil Belüftete Fläche:</t>
  </si>
  <si>
    <t>Raum</t>
  </si>
  <si>
    <t>vg. bel. Fläche</t>
  </si>
  <si>
    <t>frei bel. Fläche</t>
  </si>
  <si>
    <t>Bel. Fl</t>
  </si>
  <si>
    <t>Auswahlliste:</t>
  </si>
  <si>
    <t>Summen:</t>
  </si>
  <si>
    <t>wirks. Fläche</t>
  </si>
  <si>
    <t>RL</t>
  </si>
  <si>
    <t>NL</t>
  </si>
  <si>
    <t>IL</t>
  </si>
  <si>
    <t>fR,EG</t>
  </si>
  <si>
    <t>qv,LtM,vg,R NL</t>
  </si>
  <si>
    <t>qv,LtM,vg,R RL</t>
  </si>
  <si>
    <t>qv,LtM,vg,R IL</t>
  </si>
  <si>
    <t>Bestimmung der Gesamt-Außenluftvolumenströme der mit R-LG belüfteten Räume:</t>
  </si>
  <si>
    <t>q(v,ges,NE,FL)neu</t>
  </si>
  <si>
    <t>1.1</t>
  </si>
  <si>
    <t>Restfläche:</t>
  </si>
  <si>
    <t>Ausgabe vg Einzelraum-Lüftungsgeräte (R-LG):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</si>
</sst>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name val="Arial"/>
    </font>
    <font>
      <sz val="8"/>
      <name val="Arial"/>
      <family val="2"/>
    </font>
    <font>
      <sz val="18"/>
      <name val="Arial"/>
      <family val="2"/>
    </font>
    <font>
      <sz val="14"/>
      <name val="Arial"/>
      <family val="2"/>
    </font>
    <font>
      <b/>
      <sz val="10"/>
      <name val="Arial"/>
      <family val="2"/>
    </font>
    <font>
      <vertAlign val="subscript"/>
      <sz val="10"/>
      <name val="Arial"/>
      <family val="2"/>
    </font>
    <font>
      <sz val="10"/>
      <name val="Arial"/>
      <family val="2"/>
    </font>
    <font>
      <vertAlign val="superscript"/>
      <sz val="10"/>
      <name val="Arial"/>
      <family val="2"/>
    </font>
    <font>
      <b/>
      <sz val="9"/>
      <color indexed="16"/>
      <name val="Arial"/>
      <family val="2"/>
    </font>
    <font>
      <b/>
      <sz val="12"/>
      <name val="Arial"/>
      <family val="2"/>
    </font>
    <font>
      <b/>
      <vertAlign val="subscript"/>
      <sz val="12"/>
      <name val="Arial"/>
      <family val="2"/>
    </font>
    <font>
      <sz val="12"/>
      <name val="Arial"/>
      <family val="2"/>
    </font>
    <font>
      <sz val="10"/>
      <name val="Symbol"/>
      <family val="1"/>
      <charset val="2"/>
    </font>
    <font>
      <b/>
      <sz val="6.5"/>
      <name val="Arial"/>
      <family val="2"/>
    </font>
    <font>
      <sz val="6.5"/>
      <name val="Arial"/>
      <family val="2"/>
    </font>
    <font>
      <b/>
      <sz val="10"/>
      <name val="Symbol"/>
      <family val="1"/>
      <charset val="2"/>
    </font>
    <font>
      <sz val="18"/>
      <name val="Wingdings"/>
      <charset val="2"/>
    </font>
    <font>
      <b/>
      <sz val="16"/>
      <name val="Arial"/>
      <family val="2"/>
    </font>
    <font>
      <b/>
      <i/>
      <sz val="11"/>
      <name val="Helvetica"/>
      <family val="2"/>
    </font>
    <font>
      <b/>
      <u/>
      <sz val="12"/>
      <name val="Arial"/>
      <family val="2"/>
    </font>
    <font>
      <sz val="14"/>
      <name val="Arial"/>
      <family val="2"/>
    </font>
    <font>
      <b/>
      <i/>
      <sz val="16"/>
      <name val="Arial"/>
      <family val="2"/>
    </font>
    <font>
      <sz val="9"/>
      <color indexed="81"/>
      <name val="Tahoma"/>
      <family val="2"/>
    </font>
    <font>
      <b/>
      <sz val="9"/>
      <color indexed="81"/>
      <name val="Tahoma"/>
      <family val="2"/>
    </font>
    <font>
      <b/>
      <sz val="18"/>
      <name val="Wingdings"/>
      <charset val="2"/>
    </font>
    <font>
      <sz val="9"/>
      <color indexed="81"/>
      <name val="Tahoma"/>
      <charset val="1"/>
    </font>
  </fonts>
  <fills count="8">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52"/>
        <bgColor indexed="64"/>
      </patternFill>
    </fill>
    <fill>
      <patternFill patternType="solid">
        <fgColor indexed="47"/>
        <bgColor indexed="64"/>
      </patternFill>
    </fill>
    <fill>
      <patternFill patternType="solid">
        <fgColor theme="5" tint="0.59999389629810485"/>
        <bgColor indexed="64"/>
      </patternFill>
    </fill>
    <fill>
      <patternFill patternType="solid">
        <fgColor rgb="FFFFFFCC"/>
        <bgColor indexed="64"/>
      </patternFill>
    </fill>
  </fills>
  <borders count="93">
    <border>
      <left/>
      <right/>
      <top/>
      <bottom/>
      <diagonal/>
    </border>
    <border>
      <left style="hair">
        <color indexed="64"/>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543">
    <xf numFmtId="0" fontId="0" fillId="0" borderId="0" xfId="0"/>
    <xf numFmtId="0" fontId="0" fillId="0" borderId="0" xfId="0" applyAlignment="1">
      <alignment horizontal="right"/>
    </xf>
    <xf numFmtId="0" fontId="0" fillId="0" borderId="0" xfId="0" applyBorder="1" applyAlignment="1">
      <alignment horizontal="right" vertical="center"/>
    </xf>
    <xf numFmtId="0" fontId="4" fillId="0" borderId="0" xfId="0" applyFont="1" applyAlignment="1">
      <alignment vertical="center"/>
    </xf>
    <xf numFmtId="0" fontId="0" fillId="0" borderId="0" xfId="0"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0" xfId="0"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wrapText="1"/>
    </xf>
    <xf numFmtId="0" fontId="0" fillId="0" borderId="12" xfId="0" applyBorder="1" applyAlignment="1">
      <alignment vertical="center"/>
    </xf>
    <xf numFmtId="0" fontId="0" fillId="0" borderId="13"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164" fontId="0" fillId="0" borderId="14" xfId="0" applyNumberFormat="1" applyBorder="1" applyAlignment="1">
      <alignment vertical="center"/>
    </xf>
    <xf numFmtId="2" fontId="0" fillId="0" borderId="14" xfId="0" applyNumberFormat="1" applyBorder="1" applyAlignment="1">
      <alignment vertical="center"/>
    </xf>
    <xf numFmtId="0" fontId="0" fillId="2" borderId="15" xfId="0" applyFill="1" applyBorder="1" applyAlignment="1">
      <alignment horizontal="center" vertical="center"/>
    </xf>
    <xf numFmtId="0" fontId="0" fillId="0" borderId="0" xfId="0" applyFill="1" applyAlignment="1">
      <alignment vertical="center"/>
    </xf>
    <xf numFmtId="0" fontId="0" fillId="3" borderId="15" xfId="0" applyFill="1" applyBorder="1" applyAlignment="1">
      <alignment vertical="center"/>
    </xf>
    <xf numFmtId="0" fontId="0" fillId="2" borderId="15" xfId="0" applyFill="1" applyBorder="1" applyAlignment="1">
      <alignment vertical="center"/>
    </xf>
    <xf numFmtId="0" fontId="0" fillId="4" borderId="15" xfId="0" applyFill="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0" fillId="0" borderId="15" xfId="0" applyBorder="1" applyAlignment="1">
      <alignment vertical="center"/>
    </xf>
    <xf numFmtId="0" fontId="3" fillId="0" borderId="3" xfId="0" applyFont="1" applyBorder="1" applyAlignment="1">
      <alignment vertical="center"/>
    </xf>
    <xf numFmtId="0" fontId="4" fillId="0" borderId="2" xfId="0" applyFont="1" applyBorder="1" applyAlignment="1">
      <alignment vertical="center"/>
    </xf>
    <xf numFmtId="0" fontId="0" fillId="2" borderId="16" xfId="0" applyFill="1" applyBorder="1" applyAlignment="1">
      <alignment horizontal="center" vertical="center"/>
    </xf>
    <xf numFmtId="0" fontId="0" fillId="0" borderId="0" xfId="0" applyBorder="1" applyAlignment="1">
      <alignment horizontal="left" vertical="center"/>
    </xf>
    <xf numFmtId="0" fontId="0" fillId="2" borderId="17" xfId="0" applyFill="1" applyBorder="1" applyAlignment="1">
      <alignment horizontal="center" vertical="center"/>
    </xf>
    <xf numFmtId="0" fontId="9" fillId="0" borderId="4" xfId="0" applyFont="1" applyBorder="1" applyAlignment="1">
      <alignment horizontal="right" vertical="center"/>
    </xf>
    <xf numFmtId="0" fontId="9" fillId="0" borderId="0" xfId="0" applyFont="1" applyBorder="1" applyAlignment="1">
      <alignment horizontal="right" vertical="center"/>
    </xf>
    <xf numFmtId="0" fontId="9" fillId="0" borderId="8" xfId="0" applyFont="1" applyBorder="1" applyAlignment="1">
      <alignment horizontal="right" vertical="center"/>
    </xf>
    <xf numFmtId="0" fontId="4" fillId="0" borderId="3" xfId="0" applyFont="1" applyBorder="1" applyAlignment="1">
      <alignment vertical="center"/>
    </xf>
    <xf numFmtId="2" fontId="0" fillId="0" borderId="0" xfId="0" applyNumberFormat="1" applyBorder="1" applyAlignment="1">
      <alignment vertical="center"/>
    </xf>
    <xf numFmtId="164" fontId="0" fillId="0" borderId="0" xfId="0" applyNumberFormat="1" applyBorder="1" applyAlignment="1">
      <alignment vertical="center"/>
    </xf>
    <xf numFmtId="0" fontId="9" fillId="0" borderId="8" xfId="0" applyFont="1" applyBorder="1" applyAlignment="1">
      <alignment vertical="center"/>
    </xf>
    <xf numFmtId="0" fontId="0" fillId="0" borderId="14" xfId="0" applyBorder="1" applyAlignment="1">
      <alignment horizontal="center" vertical="center"/>
    </xf>
    <xf numFmtId="0" fontId="4" fillId="0" borderId="0" xfId="0" applyFont="1" applyBorder="1" applyAlignment="1">
      <alignment horizontal="left"/>
    </xf>
    <xf numFmtId="0" fontId="0" fillId="0" borderId="0" xfId="0" applyBorder="1"/>
    <xf numFmtId="0" fontId="0" fillId="0" borderId="2" xfId="0" applyBorder="1"/>
    <xf numFmtId="0" fontId="0" fillId="0" borderId="6" xfId="0" applyBorder="1"/>
    <xf numFmtId="0" fontId="0" fillId="0" borderId="7" xfId="0" applyBorder="1"/>
    <xf numFmtId="0" fontId="0" fillId="0" borderId="8" xfId="0" applyBorder="1"/>
    <xf numFmtId="0" fontId="0" fillId="0" borderId="4" xfId="0" applyBorder="1"/>
    <xf numFmtId="0" fontId="0" fillId="0" borderId="16" xfId="0" applyBorder="1" applyAlignment="1">
      <alignment horizontal="left"/>
    </xf>
    <xf numFmtId="0" fontId="4" fillId="0" borderId="0" xfId="0" applyFont="1" applyBorder="1"/>
    <xf numFmtId="0" fontId="0" fillId="0" borderId="18" xfId="0" applyBorder="1" applyAlignment="1">
      <alignment horizontal="left"/>
    </xf>
    <xf numFmtId="0" fontId="0" fillId="0" borderId="17" xfId="0" applyBorder="1" applyAlignment="1">
      <alignment horizontal="left"/>
    </xf>
    <xf numFmtId="0" fontId="0" fillId="0" borderId="19" xfId="0" applyBorder="1"/>
    <xf numFmtId="0" fontId="4" fillId="0" borderId="20" xfId="0" applyFont="1" applyBorder="1" applyAlignment="1">
      <alignment horizontal="right" vertical="center"/>
    </xf>
    <xf numFmtId="2" fontId="4" fillId="0" borderId="0" xfId="0" applyNumberFormat="1" applyFont="1" applyBorder="1" applyAlignment="1">
      <alignment vertical="center"/>
    </xf>
    <xf numFmtId="0" fontId="15" fillId="0" borderId="2" xfId="0" applyFont="1" applyBorder="1" applyAlignment="1">
      <alignment vertical="center"/>
    </xf>
    <xf numFmtId="0" fontId="4" fillId="0" borderId="9" xfId="0" applyFont="1" applyBorder="1" applyAlignment="1">
      <alignment vertical="center"/>
    </xf>
    <xf numFmtId="0" fontId="0" fillId="0" borderId="0" xfId="0"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0" fillId="0" borderId="6" xfId="0" applyFill="1" applyBorder="1" applyAlignment="1">
      <alignment horizontal="center" vertical="center"/>
    </xf>
    <xf numFmtId="0" fontId="0" fillId="0" borderId="8" xfId="0" applyFill="1" applyBorder="1" applyAlignment="1" applyProtection="1">
      <alignment vertical="center"/>
      <protection locked="0"/>
    </xf>
    <xf numFmtId="0" fontId="0" fillId="0" borderId="8" xfId="0" applyFill="1" applyBorder="1" applyAlignment="1" applyProtection="1">
      <alignment horizontal="center" vertical="center"/>
      <protection locked="0"/>
    </xf>
    <xf numFmtId="0" fontId="0" fillId="0" borderId="19" xfId="0" applyFill="1" applyBorder="1" applyAlignment="1">
      <alignment horizontal="center" vertical="center"/>
    </xf>
    <xf numFmtId="164" fontId="4" fillId="0" borderId="0" xfId="0" applyNumberFormat="1" applyFont="1" applyBorder="1" applyAlignment="1">
      <alignment horizontal="center"/>
    </xf>
    <xf numFmtId="0" fontId="4" fillId="0" borderId="0" xfId="0" applyFont="1" applyFill="1" applyBorder="1" applyAlignment="1">
      <alignment horizontal="left"/>
    </xf>
    <xf numFmtId="0" fontId="0" fillId="0" borderId="0" xfId="0" applyFill="1" applyBorder="1" applyAlignment="1">
      <alignment vertical="center"/>
    </xf>
    <xf numFmtId="0" fontId="0" fillId="0" borderId="0" xfId="0" applyBorder="1" applyAlignment="1">
      <alignment horizontal="center" vertical="center"/>
    </xf>
    <xf numFmtId="0" fontId="0" fillId="0" borderId="14" xfId="0" applyFill="1" applyBorder="1" applyAlignment="1">
      <alignment vertical="center"/>
    </xf>
    <xf numFmtId="2" fontId="0" fillId="0" borderId="14" xfId="0" applyNumberFormat="1" applyBorder="1" applyAlignment="1">
      <alignment horizontal="center" vertical="center"/>
    </xf>
    <xf numFmtId="164" fontId="0" fillId="0" borderId="14" xfId="0" quotePrefix="1" applyNumberFormat="1" applyBorder="1" applyAlignment="1">
      <alignment horizontal="center" vertical="center"/>
    </xf>
    <xf numFmtId="0" fontId="6" fillId="0" borderId="0" xfId="0" applyFont="1" applyBorder="1" applyAlignment="1">
      <alignment vertical="center"/>
    </xf>
    <xf numFmtId="0" fontId="12" fillId="0" borderId="0" xfId="0" applyFont="1" applyBorder="1" applyAlignment="1">
      <alignment vertical="center"/>
    </xf>
    <xf numFmtId="164" fontId="0" fillId="0" borderId="0" xfId="0" applyNumberFormat="1" applyBorder="1"/>
    <xf numFmtId="2" fontId="0" fillId="0" borderId="0" xfId="0" applyNumberFormat="1" applyBorder="1"/>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2" borderId="15" xfId="0" applyFont="1" applyFill="1" applyBorder="1" applyAlignment="1">
      <alignment horizontal="center" vertical="center"/>
    </xf>
    <xf numFmtId="0" fontId="6" fillId="0" borderId="0" xfId="0" applyFont="1" applyBorder="1" applyAlignment="1">
      <alignment horizontal="right" vertical="center"/>
    </xf>
    <xf numFmtId="0" fontId="6" fillId="0" borderId="20" xfId="0" applyFont="1" applyBorder="1" applyAlignment="1">
      <alignment horizontal="right" vertical="center"/>
    </xf>
    <xf numFmtId="0" fontId="6" fillId="0" borderId="0" xfId="0" applyFont="1" applyBorder="1" applyAlignment="1">
      <alignment horizontal="center" vertical="center"/>
    </xf>
    <xf numFmtId="0" fontId="6" fillId="2" borderId="15" xfId="0" applyFont="1" applyFill="1" applyBorder="1" applyAlignment="1">
      <alignment horizontal="center" vertical="center"/>
    </xf>
    <xf numFmtId="0" fontId="0" fillId="0" borderId="0" xfId="0" applyBorder="1" applyAlignment="1">
      <alignment horizontal="left"/>
    </xf>
    <xf numFmtId="0" fontId="4" fillId="0" borderId="8" xfId="0" applyFont="1" applyBorder="1" applyAlignment="1">
      <alignment horizontal="right" vertical="center"/>
    </xf>
    <xf numFmtId="0" fontId="4" fillId="0" borderId="21" xfId="0" applyFont="1" applyBorder="1" applyAlignment="1">
      <alignment horizontal="right" vertical="center"/>
    </xf>
    <xf numFmtId="0" fontId="4" fillId="0" borderId="0" xfId="0" applyFont="1" applyFill="1" applyBorder="1" applyAlignment="1">
      <alignment vertical="center"/>
    </xf>
    <xf numFmtId="1" fontId="4" fillId="0" borderId="15" xfId="0" applyNumberFormat="1" applyFont="1" applyFill="1" applyBorder="1" applyAlignment="1">
      <alignment horizontal="center" vertical="center"/>
    </xf>
    <xf numFmtId="0" fontId="13" fillId="0" borderId="22" xfId="0" applyFont="1" applyBorder="1" applyAlignment="1">
      <alignment horizontal="left"/>
    </xf>
    <xf numFmtId="0" fontId="14" fillId="0" borderId="22" xfId="0" applyFont="1" applyBorder="1" applyAlignment="1">
      <alignment horizontal="left"/>
    </xf>
    <xf numFmtId="0" fontId="6" fillId="0" borderId="0" xfId="0" applyFont="1" applyBorder="1" applyAlignment="1">
      <alignment horizontal="left"/>
    </xf>
    <xf numFmtId="0" fontId="0" fillId="0" borderId="23" xfId="0" applyFill="1" applyBorder="1" applyAlignment="1">
      <alignment vertical="center"/>
    </xf>
    <xf numFmtId="0" fontId="0" fillId="0" borderId="23" xfId="0" applyBorder="1"/>
    <xf numFmtId="0" fontId="0" fillId="0" borderId="0" xfId="0" applyFill="1" applyBorder="1" applyAlignment="1">
      <alignment horizontal="center" vertical="center"/>
    </xf>
    <xf numFmtId="0" fontId="4" fillId="0" borderId="24" xfId="0" applyFont="1" applyBorder="1" applyAlignment="1">
      <alignment horizontal="right" vertical="center"/>
    </xf>
    <xf numFmtId="0" fontId="13" fillId="0" borderId="25" xfId="0" applyFont="1" applyFill="1" applyBorder="1" applyAlignment="1">
      <alignment horizontal="left"/>
    </xf>
    <xf numFmtId="0" fontId="16" fillId="0" borderId="15" xfId="0" applyFont="1" applyBorder="1" applyAlignment="1">
      <alignment horizontal="center" vertical="center"/>
    </xf>
    <xf numFmtId="0" fontId="4" fillId="0" borderId="15" xfId="0" applyFont="1" applyBorder="1" applyAlignment="1">
      <alignment horizontal="center" vertical="center"/>
    </xf>
    <xf numFmtId="0" fontId="4" fillId="0" borderId="15"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4" xfId="0" applyFont="1" applyBorder="1" applyAlignment="1">
      <alignment horizontal="center" vertical="center"/>
    </xf>
    <xf numFmtId="1" fontId="4" fillId="2" borderId="27" xfId="0" applyNumberFormat="1" applyFont="1" applyFill="1" applyBorder="1" applyAlignment="1">
      <alignment horizontal="center" vertical="center"/>
    </xf>
    <xf numFmtId="0" fontId="0" fillId="0" borderId="28" xfId="0" applyBorder="1"/>
    <xf numFmtId="0" fontId="0" fillId="2" borderId="29" xfId="0" applyFill="1" applyBorder="1" applyAlignment="1">
      <alignment horizontal="center" vertical="center"/>
    </xf>
    <xf numFmtId="0" fontId="13" fillId="0" borderId="30" xfId="0" applyFont="1" applyFill="1" applyBorder="1" applyAlignment="1">
      <alignment horizontal="left"/>
    </xf>
    <xf numFmtId="0" fontId="4" fillId="0" borderId="8" xfId="0" applyFont="1" applyFill="1" applyBorder="1" applyAlignment="1">
      <alignment vertical="center"/>
    </xf>
    <xf numFmtId="1" fontId="4" fillId="0" borderId="29" xfId="0" applyNumberFormat="1" applyFont="1" applyFill="1" applyBorder="1" applyAlignment="1">
      <alignment horizontal="center" vertical="center"/>
    </xf>
    <xf numFmtId="0" fontId="0" fillId="0" borderId="8" xfId="0" applyFill="1" applyBorder="1" applyAlignment="1">
      <alignment vertical="center"/>
    </xf>
    <xf numFmtId="0" fontId="4" fillId="0" borderId="29" xfId="0" applyFont="1" applyFill="1" applyBorder="1" applyAlignment="1">
      <alignment horizontal="center" vertical="center"/>
    </xf>
    <xf numFmtId="0" fontId="15" fillId="0" borderId="21" xfId="0" applyFont="1" applyBorder="1" applyAlignment="1">
      <alignment horizontal="right" vertical="center"/>
    </xf>
    <xf numFmtId="0" fontId="4" fillId="0" borderId="7" xfId="0" applyFont="1" applyBorder="1" applyAlignment="1">
      <alignment vertical="center"/>
    </xf>
    <xf numFmtId="0" fontId="13" fillId="0" borderId="30" xfId="0" applyFont="1" applyFill="1" applyBorder="1" applyAlignment="1">
      <alignment horizontal="left" vertical="center"/>
    </xf>
    <xf numFmtId="1" fontId="4" fillId="0" borderId="31" xfId="0" applyNumberFormat="1" applyFont="1" applyBorder="1" applyAlignment="1">
      <alignment horizontal="center" vertical="center"/>
    </xf>
    <xf numFmtId="0" fontId="0" fillId="0" borderId="32" xfId="0" applyBorder="1" applyAlignment="1">
      <alignment vertical="center"/>
    </xf>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4" fillId="0" borderId="33" xfId="0" applyFont="1" applyBorder="1" applyAlignment="1">
      <alignment vertical="center"/>
    </xf>
    <xf numFmtId="0" fontId="0" fillId="0" borderId="47" xfId="0" applyBorder="1" applyAlignment="1">
      <alignment vertical="center"/>
    </xf>
    <xf numFmtId="0" fontId="0" fillId="0" borderId="34" xfId="0" applyBorder="1" applyAlignment="1">
      <alignment vertical="center"/>
    </xf>
    <xf numFmtId="0" fontId="4" fillId="0" borderId="44" xfId="0" applyFont="1" applyBorder="1" applyAlignment="1">
      <alignment vertical="center"/>
    </xf>
    <xf numFmtId="0" fontId="0" fillId="0" borderId="39" xfId="0" applyBorder="1" applyAlignment="1">
      <alignment vertical="center"/>
    </xf>
    <xf numFmtId="0" fontId="0" fillId="0" borderId="44" xfId="0" applyBorder="1" applyAlignment="1">
      <alignment vertical="center"/>
    </xf>
    <xf numFmtId="0" fontId="0" fillId="0" borderId="46" xfId="0" applyBorder="1" applyAlignment="1">
      <alignment vertical="center"/>
    </xf>
    <xf numFmtId="2" fontId="0" fillId="0" borderId="48" xfId="0" applyNumberFormat="1" applyBorder="1" applyAlignment="1">
      <alignment vertical="center"/>
    </xf>
    <xf numFmtId="0" fontId="0" fillId="0" borderId="48" xfId="0" applyBorder="1" applyAlignment="1">
      <alignment vertical="center"/>
    </xf>
    <xf numFmtId="0" fontId="0" fillId="0" borderId="43" xfId="0" applyBorder="1" applyAlignment="1">
      <alignment vertical="center"/>
    </xf>
    <xf numFmtId="0" fontId="4" fillId="0" borderId="47" xfId="0" applyFont="1" applyBorder="1" applyAlignment="1">
      <alignment vertical="center"/>
    </xf>
    <xf numFmtId="0" fontId="0" fillId="0" borderId="44" xfId="0" applyBorder="1" applyAlignment="1">
      <alignment vertical="center" wrapText="1"/>
    </xf>
    <xf numFmtId="0" fontId="0" fillId="0" borderId="39" xfId="0" applyBorder="1" applyAlignment="1">
      <alignment vertical="center" wrapText="1"/>
    </xf>
    <xf numFmtId="0" fontId="0" fillId="0" borderId="49" xfId="0" applyBorder="1"/>
    <xf numFmtId="0" fontId="0" fillId="0" borderId="50" xfId="0" applyBorder="1"/>
    <xf numFmtId="0" fontId="4" fillId="0" borderId="51" xfId="0" applyFont="1" applyBorder="1" applyAlignment="1">
      <alignment vertical="center"/>
    </xf>
    <xf numFmtId="0" fontId="0" fillId="0" borderId="52" xfId="0" applyBorder="1" applyAlignment="1">
      <alignment vertical="center"/>
    </xf>
    <xf numFmtId="0" fontId="6" fillId="0" borderId="44" xfId="0" applyFont="1" applyBorder="1" applyAlignment="1">
      <alignment vertical="center"/>
    </xf>
    <xf numFmtId="0" fontId="12" fillId="0" borderId="44" xfId="0" applyFont="1" applyBorder="1" applyAlignment="1">
      <alignment vertical="center"/>
    </xf>
    <xf numFmtId="2" fontId="0" fillId="0" borderId="39" xfId="0" applyNumberFormat="1" applyBorder="1" applyAlignment="1">
      <alignment vertical="center"/>
    </xf>
    <xf numFmtId="0" fontId="0" fillId="0" borderId="47" xfId="0" applyBorder="1"/>
    <xf numFmtId="0" fontId="0" fillId="0" borderId="53" xfId="0" applyBorder="1" applyAlignment="1">
      <alignment vertical="center"/>
    </xf>
    <xf numFmtId="0" fontId="0" fillId="0" borderId="54" xfId="0" applyBorder="1" applyAlignment="1">
      <alignment vertical="center"/>
    </xf>
    <xf numFmtId="0" fontId="0" fillId="0" borderId="40" xfId="0" applyBorder="1" applyAlignment="1">
      <alignment horizontal="center" vertical="center"/>
    </xf>
    <xf numFmtId="0" fontId="0" fillId="0" borderId="37" xfId="0" applyBorder="1" applyAlignment="1">
      <alignment vertical="center"/>
    </xf>
    <xf numFmtId="164" fontId="0" fillId="0" borderId="55" xfId="0" quotePrefix="1" applyNumberFormat="1" applyBorder="1" applyAlignment="1">
      <alignment horizontal="center" vertical="center"/>
    </xf>
    <xf numFmtId="2" fontId="0" fillId="0" borderId="55" xfId="0" applyNumberFormat="1" applyBorder="1" applyAlignment="1">
      <alignment horizontal="center" vertical="center"/>
    </xf>
    <xf numFmtId="0" fontId="0" fillId="0" borderId="55" xfId="0" applyBorder="1" applyAlignment="1">
      <alignment horizontal="center" vertical="center"/>
    </xf>
    <xf numFmtId="0" fontId="0" fillId="0" borderId="40" xfId="0" applyBorder="1" applyAlignment="1">
      <alignment vertical="center"/>
    </xf>
    <xf numFmtId="164" fontId="0" fillId="0" borderId="40" xfId="0" applyNumberFormat="1" applyBorder="1" applyAlignment="1">
      <alignment vertical="center"/>
    </xf>
    <xf numFmtId="164" fontId="0" fillId="0" borderId="39" xfId="0" applyNumberFormat="1" applyBorder="1" applyAlignment="1">
      <alignment vertical="center"/>
    </xf>
    <xf numFmtId="0" fontId="0" fillId="0" borderId="56" xfId="0" applyBorder="1" applyAlignment="1">
      <alignment vertical="center"/>
    </xf>
    <xf numFmtId="0" fontId="0" fillId="0" borderId="57" xfId="0" applyBorder="1" applyAlignment="1">
      <alignment vertical="center" wrapText="1"/>
    </xf>
    <xf numFmtId="0" fontId="0" fillId="0" borderId="40" xfId="0" applyBorder="1" applyAlignment="1">
      <alignment vertical="center" wrapText="1"/>
    </xf>
    <xf numFmtId="0" fontId="0" fillId="0" borderId="35" xfId="0" applyBorder="1" applyAlignment="1">
      <alignment vertical="center"/>
    </xf>
    <xf numFmtId="0" fontId="0" fillId="0" borderId="58" xfId="0" applyBorder="1" applyAlignment="1">
      <alignment vertical="center"/>
    </xf>
    <xf numFmtId="0" fontId="0" fillId="0" borderId="57" xfId="0" applyBorder="1" applyAlignment="1">
      <alignment vertical="center"/>
    </xf>
    <xf numFmtId="0" fontId="0" fillId="0" borderId="42" xfId="0" applyBorder="1" applyAlignment="1">
      <alignment vertical="center"/>
    </xf>
    <xf numFmtId="0" fontId="0" fillId="0" borderId="59" xfId="0" applyBorder="1" applyAlignment="1">
      <alignment vertical="center"/>
    </xf>
    <xf numFmtId="0" fontId="0" fillId="0" borderId="55" xfId="0" applyBorder="1" applyAlignment="1">
      <alignment vertical="center"/>
    </xf>
    <xf numFmtId="0" fontId="0" fillId="5" borderId="15" xfId="0" applyFill="1" applyBorder="1" applyAlignment="1">
      <alignment vertical="center"/>
    </xf>
    <xf numFmtId="164" fontId="0" fillId="0" borderId="27"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164" fontId="0" fillId="0" borderId="29" xfId="0" applyNumberFormat="1" applyBorder="1" applyAlignment="1" applyProtection="1">
      <alignment horizontal="center"/>
      <protection locked="0"/>
    </xf>
    <xf numFmtId="0" fontId="9"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4" xfId="0" applyBorder="1" applyProtection="1">
      <protection locked="0"/>
    </xf>
    <xf numFmtId="0" fontId="0" fillId="0" borderId="39" xfId="0" applyBorder="1" applyProtection="1">
      <protection locked="0"/>
    </xf>
    <xf numFmtId="0" fontId="0" fillId="0" borderId="60" xfId="0" applyBorder="1" applyProtection="1">
      <protection locked="0"/>
    </xf>
    <xf numFmtId="0" fontId="9" fillId="2" borderId="61" xfId="0" applyFont="1" applyFill="1" applyBorder="1"/>
    <xf numFmtId="0" fontId="9" fillId="3" borderId="61" xfId="0" applyFont="1" applyFill="1" applyBorder="1"/>
    <xf numFmtId="0" fontId="6" fillId="3" borderId="62" xfId="0" applyFont="1" applyFill="1" applyBorder="1" applyAlignment="1">
      <alignment vertical="center" wrapText="1"/>
    </xf>
    <xf numFmtId="0" fontId="6" fillId="2" borderId="62" xfId="0" applyFont="1" applyFill="1" applyBorder="1" applyAlignment="1">
      <alignment vertical="center" wrapText="1"/>
    </xf>
    <xf numFmtId="0" fontId="6" fillId="3" borderId="63" xfId="0" applyFont="1" applyFill="1" applyBorder="1" applyAlignment="1">
      <alignment vertical="center" wrapText="1"/>
    </xf>
    <xf numFmtId="0" fontId="0" fillId="0" borderId="48" xfId="0" applyBorder="1"/>
    <xf numFmtId="0" fontId="6" fillId="2" borderId="63" xfId="0" applyFont="1" applyFill="1" applyBorder="1" applyAlignment="1">
      <alignment vertical="center" wrapText="1"/>
    </xf>
    <xf numFmtId="0" fontId="0" fillId="0" borderId="3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 fillId="0" borderId="66" xfId="0" applyFont="1" applyBorder="1" applyAlignment="1">
      <alignment vertical="center"/>
    </xf>
    <xf numFmtId="0" fontId="19" fillId="0" borderId="0" xfId="0" applyFont="1" applyAlignment="1">
      <alignment vertical="center"/>
    </xf>
    <xf numFmtId="14" fontId="0" fillId="0" borderId="0" xfId="0" applyNumberFormat="1" applyBorder="1" applyAlignment="1">
      <alignment vertical="center"/>
    </xf>
    <xf numFmtId="0" fontId="3" fillId="0" borderId="2" xfId="0" applyFont="1" applyBorder="1" applyAlignment="1">
      <alignment vertical="center"/>
    </xf>
    <xf numFmtId="0" fontId="20" fillId="0" borderId="3" xfId="0" applyFont="1" applyBorder="1" applyAlignment="1">
      <alignment vertical="center"/>
    </xf>
    <xf numFmtId="0" fontId="3" fillId="0" borderId="4" xfId="0" applyFont="1" applyBorder="1" applyAlignment="1">
      <alignment vertical="center"/>
    </xf>
    <xf numFmtId="0" fontId="20" fillId="0" borderId="0" xfId="0" applyFont="1" applyAlignment="1">
      <alignment vertical="center"/>
    </xf>
    <xf numFmtId="0" fontId="6" fillId="0" borderId="38" xfId="0" applyFont="1" applyBorder="1"/>
    <xf numFmtId="0" fontId="6" fillId="0" borderId="67" xfId="0" applyFont="1" applyBorder="1"/>
    <xf numFmtId="2" fontId="0" fillId="0" borderId="6" xfId="0" applyNumberFormat="1" applyBorder="1" applyAlignment="1">
      <alignment vertical="center"/>
    </xf>
    <xf numFmtId="0" fontId="0" fillId="0" borderId="68" xfId="0" applyBorder="1" applyAlignment="1">
      <alignment vertical="center"/>
    </xf>
    <xf numFmtId="0" fontId="6" fillId="0" borderId="36" xfId="0" applyFont="1" applyFill="1" applyBorder="1"/>
    <xf numFmtId="0" fontId="6" fillId="0" borderId="47" xfId="0" applyFont="1" applyBorder="1" applyAlignment="1">
      <alignment vertical="center"/>
    </xf>
    <xf numFmtId="0" fontId="6" fillId="0" borderId="34" xfId="0" applyFont="1" applyBorder="1" applyAlignment="1">
      <alignment vertical="center"/>
    </xf>
    <xf numFmtId="2" fontId="4" fillId="0" borderId="4" xfId="0" applyNumberFormat="1" applyFont="1" applyBorder="1" applyAlignment="1">
      <alignment vertical="center"/>
    </xf>
    <xf numFmtId="2" fontId="4" fillId="0" borderId="5" xfId="0" applyNumberFormat="1" applyFont="1" applyBorder="1" applyAlignment="1">
      <alignment vertical="center"/>
    </xf>
    <xf numFmtId="0" fontId="6" fillId="0" borderId="2" xfId="0" applyFont="1" applyBorder="1" applyAlignment="1">
      <alignment vertical="center"/>
    </xf>
    <xf numFmtId="0" fontId="12" fillId="0" borderId="2" xfId="0" applyFont="1" applyBorder="1" applyAlignment="1">
      <alignment vertical="center"/>
    </xf>
    <xf numFmtId="0" fontId="6" fillId="0" borderId="0" xfId="0" applyFont="1" applyBorder="1" applyAlignment="1">
      <alignment horizontal="left" vertical="center"/>
    </xf>
    <xf numFmtId="0" fontId="0" fillId="0" borderId="23" xfId="0" applyBorder="1" applyAlignment="1">
      <alignment vertical="center"/>
    </xf>
    <xf numFmtId="0" fontId="13" fillId="0" borderId="25" xfId="0" applyFont="1" applyFill="1" applyBorder="1" applyAlignment="1">
      <alignment horizontal="left" vertical="center"/>
    </xf>
    <xf numFmtId="0" fontId="0" fillId="0" borderId="28" xfId="0" applyBorder="1" applyAlignment="1">
      <alignment vertical="center"/>
    </xf>
    <xf numFmtId="0" fontId="0" fillId="0" borderId="0" xfId="0" applyFill="1" applyBorder="1" applyAlignment="1" applyProtection="1">
      <alignment horizontal="center" vertical="center"/>
    </xf>
    <xf numFmtId="0" fontId="0" fillId="0" borderId="1" xfId="0" applyFill="1"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69" xfId="0" applyBorder="1" applyAlignment="1">
      <alignment vertical="center"/>
    </xf>
    <xf numFmtId="0" fontId="0" fillId="0" borderId="8" xfId="0" applyFill="1" applyBorder="1" applyAlignment="1" applyProtection="1">
      <alignment horizontal="center" vertical="center"/>
    </xf>
    <xf numFmtId="0" fontId="6" fillId="0" borderId="0" xfId="0" applyFont="1" applyFill="1" applyBorder="1" applyAlignment="1" applyProtection="1">
      <alignment horizontal="right" vertical="center"/>
      <protection locked="0"/>
    </xf>
    <xf numFmtId="2" fontId="0" fillId="0" borderId="19" xfId="0" applyNumberFormat="1" applyBorder="1" applyAlignment="1">
      <alignment vertical="center"/>
    </xf>
    <xf numFmtId="2" fontId="0" fillId="0" borderId="8" xfId="0" applyNumberFormat="1" applyBorder="1" applyAlignment="1">
      <alignment vertical="center"/>
    </xf>
    <xf numFmtId="0" fontId="6" fillId="0" borderId="23" xfId="0" applyFont="1" applyBorder="1" applyAlignment="1">
      <alignment vertical="center"/>
    </xf>
    <xf numFmtId="164" fontId="0" fillId="2" borderId="15" xfId="0" applyNumberFormat="1" applyFill="1" applyBorder="1" applyAlignment="1">
      <alignment horizontal="center" vertical="center"/>
    </xf>
    <xf numFmtId="0" fontId="0" fillId="0" borderId="15" xfId="0" applyFill="1" applyBorder="1" applyAlignment="1">
      <alignment horizontal="center" vertical="center"/>
    </xf>
    <xf numFmtId="0" fontId="6" fillId="0" borderId="0" xfId="0" applyFont="1"/>
    <xf numFmtId="0" fontId="0" fillId="0" borderId="0" xfId="0" applyFill="1" applyBorder="1"/>
    <xf numFmtId="0" fontId="3" fillId="0" borderId="0" xfId="0" applyFont="1" applyFill="1" applyBorder="1" applyAlignment="1">
      <alignment vertical="center"/>
    </xf>
    <xf numFmtId="0" fontId="4" fillId="0" borderId="0" xfId="0" applyFont="1" applyFill="1" applyBorder="1" applyAlignment="1">
      <alignment horizontal="right" vertical="center"/>
    </xf>
    <xf numFmtId="0" fontId="13" fillId="0" borderId="0" xfId="0" applyFont="1" applyFill="1" applyBorder="1" applyAlignment="1">
      <alignment horizontal="left"/>
    </xf>
    <xf numFmtId="0" fontId="4" fillId="0" borderId="0" xfId="0" applyFont="1" applyFill="1"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left" vertical="center"/>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14" fillId="0" borderId="0" xfId="0" applyFont="1" applyFill="1" applyBorder="1" applyAlignment="1">
      <alignment horizontal="left"/>
    </xf>
    <xf numFmtId="0" fontId="6" fillId="0" borderId="0" xfId="0" applyFont="1" applyFill="1" applyBorder="1" applyAlignment="1">
      <alignment horizontal="center" vertical="center"/>
    </xf>
    <xf numFmtId="0" fontId="6" fillId="0" borderId="0" xfId="0" applyFont="1" applyFill="1" applyBorder="1" applyAlignment="1">
      <alignment horizontal="left"/>
    </xf>
    <xf numFmtId="0" fontId="4" fillId="0" borderId="4" xfId="0" applyFont="1" applyBorder="1" applyAlignment="1">
      <alignment horizontal="left" vertical="center"/>
    </xf>
    <xf numFmtId="0" fontId="4" fillId="0" borderId="4" xfId="0" applyFont="1" applyBorder="1" applyAlignment="1">
      <alignment vertical="center"/>
    </xf>
    <xf numFmtId="0" fontId="4" fillId="0" borderId="5" xfId="0" applyFont="1" applyBorder="1" applyAlignment="1">
      <alignment horizontal="left" vertical="center"/>
    </xf>
    <xf numFmtId="0" fontId="0" fillId="0" borderId="36" xfId="0" applyBorder="1" applyAlignment="1">
      <alignment vertical="center"/>
    </xf>
    <xf numFmtId="0" fontId="4" fillId="0" borderId="8" xfId="0" applyFont="1" applyBorder="1" applyAlignment="1">
      <alignment vertical="center"/>
    </xf>
    <xf numFmtId="164" fontId="4" fillId="0" borderId="70" xfId="0" applyNumberFormat="1" applyFont="1" applyBorder="1" applyAlignment="1">
      <alignment horizontal="center" vertical="center"/>
    </xf>
    <xf numFmtId="0" fontId="4" fillId="0" borderId="71" xfId="0" applyFont="1" applyFill="1" applyBorder="1" applyAlignment="1">
      <alignment horizontal="left" vertical="center"/>
    </xf>
    <xf numFmtId="0" fontId="4" fillId="0" borderId="6" xfId="0" applyFont="1" applyBorder="1" applyAlignment="1">
      <alignment horizontal="left" vertical="center"/>
    </xf>
    <xf numFmtId="164" fontId="0" fillId="0" borderId="27" xfId="0" applyNumberFormat="1" applyBorder="1" applyAlignment="1" applyProtection="1">
      <alignment horizontal="center" vertical="center"/>
      <protection locked="0"/>
    </xf>
    <xf numFmtId="0" fontId="0" fillId="0" borderId="18" xfId="0" applyBorder="1" applyAlignment="1">
      <alignment horizontal="left" vertical="center"/>
    </xf>
    <xf numFmtId="164" fontId="0" fillId="0" borderId="15" xfId="0" applyNumberFormat="1" applyBorder="1" applyAlignment="1" applyProtection="1">
      <alignment horizontal="center" vertical="center"/>
      <protection locked="0"/>
    </xf>
    <xf numFmtId="0" fontId="0" fillId="0" borderId="16" xfId="0" applyBorder="1" applyAlignment="1">
      <alignment horizontal="left" vertical="center"/>
    </xf>
    <xf numFmtId="0" fontId="0" fillId="0" borderId="41" xfId="0" applyBorder="1" applyAlignment="1">
      <alignment vertical="center"/>
    </xf>
    <xf numFmtId="164" fontId="0" fillId="0" borderId="29" xfId="0" applyNumberFormat="1" applyBorder="1" applyAlignment="1" applyProtection="1">
      <alignment horizontal="center" vertical="center"/>
      <protection locked="0"/>
    </xf>
    <xf numFmtId="0" fontId="0" fillId="0" borderId="17" xfId="0" applyBorder="1" applyAlignment="1">
      <alignment horizontal="left" vertical="center"/>
    </xf>
    <xf numFmtId="0" fontId="0" fillId="0" borderId="8" xfId="0" applyBorder="1" applyAlignment="1">
      <alignment horizontal="left"/>
    </xf>
    <xf numFmtId="0" fontId="15" fillId="0" borderId="72" xfId="0" applyFont="1" applyBorder="1" applyAlignment="1">
      <alignment horizontal="right" vertical="center"/>
    </xf>
    <xf numFmtId="0" fontId="13" fillId="0" borderId="8" xfId="0" applyFont="1" applyFill="1" applyBorder="1" applyAlignment="1">
      <alignment horizontal="left" vertical="center"/>
    </xf>
    <xf numFmtId="1" fontId="4" fillId="0" borderId="70" xfId="0" applyNumberFormat="1" applyFont="1" applyBorder="1" applyAlignment="1">
      <alignment horizontal="center" vertical="center"/>
    </xf>
    <xf numFmtId="0" fontId="6" fillId="0" borderId="28" xfId="0" applyFont="1" applyBorder="1" applyAlignment="1">
      <alignment vertical="center"/>
    </xf>
    <xf numFmtId="164" fontId="0" fillId="2" borderId="29" xfId="0" applyNumberFormat="1" applyFill="1" applyBorder="1" applyAlignment="1">
      <alignment horizontal="center" vertical="center"/>
    </xf>
    <xf numFmtId="0" fontId="0" fillId="0" borderId="29" xfId="0" applyFill="1" applyBorder="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4" fillId="0" borderId="0" xfId="0" applyFont="1" applyBorder="1" applyAlignment="1">
      <alignment horizontal="right" vertical="center"/>
    </xf>
    <xf numFmtId="0" fontId="17" fillId="0" borderId="8" xfId="0" applyFont="1" applyBorder="1"/>
    <xf numFmtId="0" fontId="21" fillId="0" borderId="0" xfId="0" applyFont="1" applyBorder="1"/>
    <xf numFmtId="0" fontId="15" fillId="0" borderId="0" xfId="0" applyFont="1" applyBorder="1" applyAlignment="1">
      <alignment horizontal="right" vertical="center"/>
    </xf>
    <xf numFmtId="0" fontId="13" fillId="0" borderId="0" xfId="0" applyFont="1" applyFill="1" applyBorder="1" applyAlignment="1">
      <alignment horizontal="left" vertical="center"/>
    </xf>
    <xf numFmtId="1" fontId="4" fillId="0" borderId="0" xfId="0" applyNumberFormat="1" applyFont="1" applyBorder="1" applyAlignment="1">
      <alignment horizontal="center" vertical="center"/>
    </xf>
    <xf numFmtId="0" fontId="4" fillId="0" borderId="0" xfId="0" applyFont="1" applyBorder="1" applyAlignment="1">
      <alignment horizontal="right" vertical="center"/>
    </xf>
    <xf numFmtId="0" fontId="0" fillId="0" borderId="0" xfId="0" applyBorder="1" applyAlignment="1">
      <alignment horizontal="right" vertical="top"/>
    </xf>
    <xf numFmtId="0" fontId="0" fillId="0" borderId="0" xfId="0" applyProtection="1"/>
    <xf numFmtId="0" fontId="0" fillId="0" borderId="0" xfId="0" applyAlignment="1" applyProtection="1">
      <alignment vertical="center"/>
    </xf>
    <xf numFmtId="0" fontId="0" fillId="0" borderId="63" xfId="0" applyBorder="1"/>
    <xf numFmtId="0" fontId="6" fillId="0" borderId="33" xfId="0" applyFont="1" applyBorder="1"/>
    <xf numFmtId="0" fontId="6" fillId="0" borderId="44" xfId="0" applyFont="1" applyBorder="1"/>
    <xf numFmtId="0" fontId="6" fillId="0" borderId="45" xfId="0" applyFont="1" applyBorder="1"/>
    <xf numFmtId="2" fontId="6" fillId="0" borderId="39" xfId="0" applyNumberFormat="1" applyFont="1" applyBorder="1" applyAlignment="1">
      <alignment vertical="center"/>
    </xf>
    <xf numFmtId="0" fontId="0" fillId="0" borderId="88" xfId="0" applyBorder="1" applyAlignment="1">
      <alignment vertical="center"/>
    </xf>
    <xf numFmtId="2" fontId="0" fillId="0" borderId="43" xfId="0" applyNumberFormat="1" applyBorder="1" applyAlignment="1">
      <alignment vertical="center"/>
    </xf>
    <xf numFmtId="0" fontId="4" fillId="0" borderId="46" xfId="0" applyFont="1" applyBorder="1" applyAlignment="1">
      <alignment vertical="center"/>
    </xf>
    <xf numFmtId="0" fontId="4" fillId="0" borderId="33" xfId="0" applyFont="1" applyFill="1" applyBorder="1" applyAlignment="1">
      <alignment vertical="center"/>
    </xf>
    <xf numFmtId="0" fontId="4" fillId="6" borderId="34" xfId="0" applyFont="1" applyFill="1" applyBorder="1"/>
    <xf numFmtId="0" fontId="6" fillId="6" borderId="43" xfId="0" applyFont="1" applyFill="1" applyBorder="1"/>
    <xf numFmtId="0" fontId="4" fillId="0" borderId="66" xfId="0" applyFont="1" applyBorder="1"/>
    <xf numFmtId="0" fontId="0" fillId="0" borderId="64" xfId="0" applyBorder="1"/>
    <xf numFmtId="0" fontId="0" fillId="0" borderId="65" xfId="0" applyBorder="1"/>
    <xf numFmtId="164" fontId="4" fillId="0" borderId="14" xfId="0" applyNumberFormat="1" applyFont="1" applyBorder="1" applyAlignment="1">
      <alignment vertical="center"/>
    </xf>
    <xf numFmtId="0" fontId="12" fillId="0" borderId="14" xfId="0" applyFont="1" applyBorder="1" applyAlignment="1">
      <alignment vertical="center"/>
    </xf>
    <xf numFmtId="0" fontId="0" fillId="0" borderId="54" xfId="0" applyFill="1" applyBorder="1"/>
    <xf numFmtId="164" fontId="4" fillId="0" borderId="40" xfId="0" applyNumberFormat="1" applyFont="1" applyBorder="1" applyAlignment="1">
      <alignment vertical="center"/>
    </xf>
    <xf numFmtId="0" fontId="0" fillId="0" borderId="37" xfId="0" applyFill="1" applyBorder="1"/>
    <xf numFmtId="164" fontId="4" fillId="0" borderId="55" xfId="0" applyNumberFormat="1" applyFont="1" applyBorder="1" applyAlignment="1">
      <alignment vertical="center"/>
    </xf>
    <xf numFmtId="164" fontId="4" fillId="0" borderId="81" xfId="0" applyNumberFormat="1" applyFont="1" applyBorder="1" applyAlignment="1">
      <alignment vertical="center"/>
    </xf>
    <xf numFmtId="0" fontId="6" fillId="0" borderId="34" xfId="0" applyFont="1" applyFill="1" applyBorder="1" applyAlignment="1">
      <alignment vertical="center"/>
    </xf>
    <xf numFmtId="2" fontId="4" fillId="0" borderId="90" xfId="0" applyNumberFormat="1" applyFont="1" applyBorder="1" applyAlignment="1">
      <alignment vertical="center"/>
    </xf>
    <xf numFmtId="0" fontId="0" fillId="0" borderId="3" xfId="0" applyBorder="1"/>
    <xf numFmtId="0" fontId="4" fillId="0" borderId="14" xfId="0" applyFont="1" applyBorder="1" applyAlignment="1">
      <alignment vertical="center"/>
    </xf>
    <xf numFmtId="0" fontId="0" fillId="0" borderId="14" xfId="0" applyBorder="1" applyAlignment="1">
      <alignment horizontal="center" vertical="center"/>
    </xf>
    <xf numFmtId="0" fontId="0" fillId="0" borderId="40" xfId="0" applyBorder="1" applyAlignment="1">
      <alignment horizontal="center" vertical="center"/>
    </xf>
    <xf numFmtId="0" fontId="6" fillId="0" borderId="20" xfId="0" applyFont="1" applyBorder="1" applyAlignment="1">
      <alignment horizontal="right" vertical="center"/>
    </xf>
    <xf numFmtId="0" fontId="0" fillId="0" borderId="0" xfId="0" applyBorder="1" applyAlignment="1">
      <alignment horizontal="left" vertical="center"/>
    </xf>
    <xf numFmtId="0" fontId="0" fillId="0" borderId="55" xfId="0" applyBorder="1" applyAlignment="1">
      <alignment horizontal="center" vertical="center"/>
    </xf>
    <xf numFmtId="0" fontId="4" fillId="0" borderId="8" xfId="0" applyFont="1" applyBorder="1" applyAlignment="1">
      <alignment horizontal="right" vertical="center"/>
    </xf>
    <xf numFmtId="0" fontId="4" fillId="0" borderId="0" xfId="0" applyFont="1" applyBorder="1" applyAlignment="1">
      <alignment horizontal="right" vertical="center"/>
    </xf>
    <xf numFmtId="0" fontId="0" fillId="0" borderId="91" xfId="0" applyBorder="1" applyAlignment="1">
      <alignment vertical="center"/>
    </xf>
    <xf numFmtId="0" fontId="4" fillId="0" borderId="0" xfId="0" applyFont="1" applyFill="1" applyBorder="1"/>
    <xf numFmtId="0" fontId="6" fillId="0" borderId="14" xfId="0" applyFont="1" applyBorder="1" applyAlignment="1">
      <alignment vertical="center"/>
    </xf>
    <xf numFmtId="0" fontId="6" fillId="0" borderId="92" xfId="0" applyFont="1" applyBorder="1"/>
    <xf numFmtId="0" fontId="6" fillId="0" borderId="14" xfId="0" applyFont="1" applyFill="1" applyBorder="1"/>
    <xf numFmtId="0" fontId="0" fillId="0" borderId="14" xfId="0" applyBorder="1"/>
    <xf numFmtId="0" fontId="6" fillId="0" borderId="14" xfId="0" applyFont="1" applyBorder="1"/>
    <xf numFmtId="164" fontId="0" fillId="0" borderId="14" xfId="0" applyNumberFormat="1" applyBorder="1"/>
    <xf numFmtId="0" fontId="0" fillId="3" borderId="15" xfId="0" applyFill="1" applyBorder="1" applyAlignment="1" applyProtection="1">
      <alignment vertical="center"/>
      <protection locked="0"/>
    </xf>
    <xf numFmtId="0" fontId="0" fillId="3" borderId="29" xfId="0" applyFill="1" applyBorder="1" applyAlignment="1" applyProtection="1">
      <alignment vertical="center"/>
      <protection locked="0"/>
    </xf>
    <xf numFmtId="0" fontId="6" fillId="7" borderId="27" xfId="0" applyFont="1" applyFill="1" applyBorder="1" applyAlignment="1" applyProtection="1">
      <alignment vertical="center"/>
      <protection locked="0"/>
    </xf>
    <xf numFmtId="0" fontId="0" fillId="3" borderId="15" xfId="0" applyFill="1" applyBorder="1" applyAlignment="1" applyProtection="1">
      <protection locked="0"/>
    </xf>
    <xf numFmtId="0" fontId="0" fillId="3" borderId="27" xfId="0" applyFill="1" applyBorder="1" applyAlignment="1" applyProtection="1">
      <protection locked="0"/>
    </xf>
    <xf numFmtId="0" fontId="0" fillId="3" borderId="29" xfId="0" applyFill="1" applyBorder="1" applyAlignment="1" applyProtection="1">
      <protection locked="0"/>
    </xf>
    <xf numFmtId="0" fontId="6" fillId="0" borderId="14" xfId="0" applyFont="1" applyFill="1" applyBorder="1" applyAlignment="1">
      <alignment vertical="center"/>
    </xf>
    <xf numFmtId="0" fontId="6" fillId="2" borderId="29" xfId="0" applyFont="1" applyFill="1" applyBorder="1" applyAlignment="1">
      <alignment horizontal="center" vertical="center"/>
    </xf>
    <xf numFmtId="0" fontId="0" fillId="0" borderId="27" xfId="0" applyBorder="1" applyAlignment="1" applyProtection="1">
      <alignment vertical="center"/>
      <protection locked="0"/>
    </xf>
    <xf numFmtId="0" fontId="0" fillId="0" borderId="15" xfId="0" applyBorder="1" applyAlignment="1" applyProtection="1">
      <alignment vertical="center"/>
      <protection locked="0"/>
    </xf>
    <xf numFmtId="0" fontId="0" fillId="0" borderId="29" xfId="0" applyBorder="1" applyAlignment="1" applyProtection="1">
      <alignment vertical="center"/>
      <protection locked="0"/>
    </xf>
    <xf numFmtId="0" fontId="0" fillId="0" borderId="0" xfId="0" applyBorder="1" applyAlignment="1" applyProtection="1">
      <alignment vertical="center"/>
      <protection locked="0"/>
    </xf>
    <xf numFmtId="164" fontId="0" fillId="0" borderId="0" xfId="0" applyNumberFormat="1"/>
    <xf numFmtId="0" fontId="24" fillId="0" borderId="15" xfId="0" applyFont="1" applyBorder="1" applyAlignment="1">
      <alignment horizontal="center" vertical="center"/>
    </xf>
    <xf numFmtId="0" fontId="21" fillId="0" borderId="8" xfId="0" applyFont="1" applyBorder="1"/>
    <xf numFmtId="1" fontId="4" fillId="0" borderId="8" xfId="0" applyNumberFormat="1" applyFont="1" applyBorder="1" applyAlignment="1">
      <alignment horizontal="center" vertical="center"/>
    </xf>
    <xf numFmtId="0" fontId="17" fillId="0" borderId="10" xfId="0" applyFont="1" applyBorder="1"/>
    <xf numFmtId="0" fontId="0" fillId="0" borderId="10" xfId="0" applyBorder="1"/>
    <xf numFmtId="0" fontId="21" fillId="0" borderId="10" xfId="0" applyFont="1" applyBorder="1"/>
    <xf numFmtId="0" fontId="18" fillId="0" borderId="0" xfId="0" applyFont="1" applyAlignment="1">
      <alignment horizontal="left" vertical="top" wrapText="1"/>
    </xf>
    <xf numFmtId="0" fontId="0" fillId="0" borderId="20" xfId="0" applyBorder="1" applyAlignment="1">
      <alignment horizontal="left" vertical="center"/>
    </xf>
    <xf numFmtId="0" fontId="0" fillId="0" borderId="73" xfId="0" applyBorder="1" applyAlignment="1">
      <alignment horizontal="left" vertical="center"/>
    </xf>
    <xf numFmtId="0" fontId="0" fillId="0" borderId="22" xfId="0" applyBorder="1" applyAlignment="1">
      <alignment horizontal="left" vertical="center"/>
    </xf>
    <xf numFmtId="49" fontId="6" fillId="0" borderId="0" xfId="0" applyNumberFormat="1" applyFont="1" applyAlignment="1">
      <alignment horizontal="right"/>
    </xf>
    <xf numFmtId="14" fontId="6" fillId="0" borderId="0" xfId="0" applyNumberFormat="1" applyFont="1" applyAlignment="1">
      <alignment horizontal="right"/>
    </xf>
    <xf numFmtId="0" fontId="6"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6" fillId="0" borderId="0" xfId="0" applyFont="1" applyBorder="1" applyAlignment="1">
      <alignment horizontal="left" vertical="center"/>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73" xfId="0" applyBorder="1" applyAlignment="1">
      <alignment horizontal="left" vertical="center" wrapText="1"/>
    </xf>
    <xf numFmtId="0" fontId="0" fillId="0" borderId="22" xfId="0" applyBorder="1" applyAlignment="1">
      <alignment horizontal="left" vertical="center" wrapText="1"/>
    </xf>
    <xf numFmtId="0" fontId="0" fillId="3" borderId="20" xfId="0" applyFill="1" applyBorder="1" applyAlignment="1" applyProtection="1">
      <alignment horizontal="left"/>
      <protection locked="0"/>
    </xf>
    <xf numFmtId="0" fontId="0" fillId="3" borderId="73" xfId="0" applyFill="1" applyBorder="1" applyAlignment="1" applyProtection="1">
      <alignment horizontal="left"/>
      <protection locked="0"/>
    </xf>
    <xf numFmtId="0" fontId="0" fillId="3" borderId="21" xfId="0" applyFill="1" applyBorder="1" applyAlignment="1" applyProtection="1">
      <alignment horizontal="left"/>
      <protection locked="0"/>
    </xf>
    <xf numFmtId="0" fontId="0" fillId="3" borderId="30" xfId="0" applyFill="1" applyBorder="1" applyAlignment="1" applyProtection="1">
      <alignment horizontal="left"/>
      <protection locked="0"/>
    </xf>
    <xf numFmtId="2" fontId="0" fillId="0" borderId="9" xfId="0" applyNumberFormat="1" applyBorder="1" applyAlignment="1">
      <alignment horizontal="center" vertical="center"/>
    </xf>
    <xf numFmtId="2" fontId="0" fillId="0" borderId="80" xfId="0" applyNumberFormat="1" applyBorder="1" applyAlignment="1">
      <alignment horizontal="center" vertical="center"/>
    </xf>
    <xf numFmtId="0" fontId="4" fillId="0" borderId="0" xfId="0" applyFont="1" applyFill="1" applyBorder="1" applyAlignment="1">
      <alignment horizontal="right" vertical="center"/>
    </xf>
    <xf numFmtId="0" fontId="0" fillId="0" borderId="20"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89" xfId="0" applyBorder="1" applyAlignment="1">
      <alignment horizontal="center" vertical="center"/>
    </xf>
    <xf numFmtId="0" fontId="11" fillId="0" borderId="0" xfId="0" applyFont="1" applyFill="1" applyBorder="1" applyAlignment="1">
      <alignment horizontal="right" vertical="center"/>
    </xf>
    <xf numFmtId="1" fontId="4" fillId="0" borderId="0" xfId="0" applyNumberFormat="1" applyFont="1" applyFill="1" applyBorder="1" applyAlignment="1">
      <alignment horizontal="center" vertical="center"/>
    </xf>
    <xf numFmtId="0" fontId="0" fillId="3" borderId="20" xfId="0" applyFill="1" applyBorder="1" applyAlignment="1" applyProtection="1">
      <alignment horizontal="left" vertical="center"/>
      <protection locked="0"/>
    </xf>
    <xf numFmtId="0" fontId="0" fillId="3" borderId="73" xfId="0" applyFill="1" applyBorder="1" applyAlignment="1" applyProtection="1">
      <alignment horizontal="left" vertical="center"/>
      <protection locked="0"/>
    </xf>
    <xf numFmtId="0" fontId="0" fillId="3" borderId="21"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2" xfId="0" applyBorder="1" applyAlignment="1">
      <alignment horizontal="center" vertical="center"/>
    </xf>
    <xf numFmtId="0" fontId="0" fillId="0" borderId="83" xfId="0" applyBorder="1" applyAlignment="1">
      <alignment horizontal="center"/>
    </xf>
    <xf numFmtId="0" fontId="0" fillId="0" borderId="84" xfId="0" applyBorder="1" applyAlignment="1">
      <alignment horizontal="center"/>
    </xf>
    <xf numFmtId="0" fontId="0" fillId="0" borderId="9" xfId="0" quotePrefix="1" applyBorder="1" applyAlignment="1">
      <alignment horizontal="center"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9" fillId="0" borderId="82" xfId="0" applyFont="1" applyBorder="1" applyAlignment="1">
      <alignment horizontal="center" vertical="center"/>
    </xf>
    <xf numFmtId="0" fontId="9" fillId="0" borderId="4" xfId="0" applyFont="1" applyBorder="1" applyAlignment="1">
      <alignment horizontal="right" vertical="center"/>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40" xfId="0" applyBorder="1" applyAlignment="1">
      <alignment horizontal="center" vertical="center"/>
    </xf>
    <xf numFmtId="0" fontId="0" fillId="0" borderId="57" xfId="0" applyBorder="1" applyAlignment="1">
      <alignment horizontal="center" vertical="center"/>
    </xf>
    <xf numFmtId="0" fontId="0" fillId="0" borderId="35" xfId="0" applyBorder="1" applyAlignment="1">
      <alignment horizontal="center" vertical="center"/>
    </xf>
    <xf numFmtId="0" fontId="0" fillId="0" borderId="40" xfId="0" applyFill="1" applyBorder="1" applyAlignment="1">
      <alignment horizontal="center" vertical="center"/>
    </xf>
    <xf numFmtId="0" fontId="0" fillId="0" borderId="80" xfId="0" applyBorder="1" applyAlignment="1">
      <alignment horizontal="center" vertical="center"/>
    </xf>
    <xf numFmtId="0" fontId="0" fillId="0" borderId="20" xfId="0" applyBorder="1" applyAlignment="1" applyProtection="1">
      <alignment horizontal="left"/>
      <protection locked="0"/>
    </xf>
    <xf numFmtId="0" fontId="0" fillId="0" borderId="22" xfId="0" applyBorder="1" applyAlignment="1" applyProtection="1">
      <alignment horizontal="left"/>
      <protection locked="0"/>
    </xf>
    <xf numFmtId="0" fontId="4" fillId="0" borderId="32" xfId="0" applyFont="1" applyBorder="1" applyAlignment="1">
      <alignment horizontal="right" vertical="center"/>
    </xf>
    <xf numFmtId="0" fontId="4" fillId="0" borderId="8" xfId="0" applyFont="1" applyBorder="1" applyAlignment="1">
      <alignment horizontal="right" vertical="center"/>
    </xf>
    <xf numFmtId="0" fontId="4" fillId="0" borderId="10" xfId="0" applyFont="1" applyBorder="1" applyAlignment="1">
      <alignment horizontal="right" vertical="center"/>
    </xf>
    <xf numFmtId="0" fontId="9" fillId="0" borderId="0" xfId="0" applyFont="1" applyFill="1" applyBorder="1" applyAlignment="1" applyProtection="1">
      <alignment horizontal="center" vertical="center"/>
      <protection locked="0"/>
    </xf>
    <xf numFmtId="0" fontId="0" fillId="0" borderId="21" xfId="0" applyBorder="1" applyAlignment="1" applyProtection="1">
      <alignment horizontal="left" vertical="center"/>
      <protection locked="0"/>
    </xf>
    <xf numFmtId="0" fontId="0" fillId="0" borderId="74" xfId="0" applyBorder="1" applyAlignment="1" applyProtection="1">
      <alignment horizontal="left" vertical="center"/>
      <protection locked="0"/>
    </xf>
    <xf numFmtId="0" fontId="0" fillId="0" borderId="0" xfId="0" applyAlignment="1">
      <alignment horizontal="right"/>
    </xf>
    <xf numFmtId="14" fontId="0" fillId="0" borderId="0" xfId="0" applyNumberFormat="1" applyAlignment="1">
      <alignment horizontal="right"/>
    </xf>
    <xf numFmtId="0" fontId="9" fillId="2" borderId="75" xfId="0" applyFont="1" applyFill="1" applyBorder="1" applyAlignment="1">
      <alignment horizontal="center" vertical="center"/>
    </xf>
    <xf numFmtId="0" fontId="9" fillId="2" borderId="76" xfId="0" applyFont="1" applyFill="1" applyBorder="1" applyAlignment="1">
      <alignment horizontal="center" vertical="center"/>
    </xf>
    <xf numFmtId="0" fontId="9" fillId="2" borderId="7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78" xfId="0" applyFont="1" applyFill="1" applyBorder="1" applyAlignment="1">
      <alignment horizontal="center" vertical="center"/>
    </xf>
    <xf numFmtId="0" fontId="8" fillId="3" borderId="20" xfId="0" applyFont="1" applyFill="1" applyBorder="1" applyAlignment="1" applyProtection="1">
      <alignment horizontal="left" vertical="center"/>
      <protection locked="0"/>
    </xf>
    <xf numFmtId="0" fontId="8" fillId="3" borderId="73" xfId="0" applyFont="1" applyFill="1" applyBorder="1" applyAlignment="1" applyProtection="1">
      <alignment horizontal="left" vertical="center"/>
      <protection locked="0"/>
    </xf>
    <xf numFmtId="0" fontId="8" fillId="3" borderId="78" xfId="0" applyFont="1" applyFill="1" applyBorder="1" applyAlignment="1" applyProtection="1">
      <alignment horizontal="left" vertical="center"/>
      <protection locked="0"/>
    </xf>
    <xf numFmtId="1" fontId="9" fillId="2" borderId="20" xfId="0" applyNumberFormat="1" applyFont="1" applyFill="1" applyBorder="1" applyAlignment="1">
      <alignment horizontal="center" vertical="center"/>
    </xf>
    <xf numFmtId="1" fontId="9" fillId="2" borderId="22" xfId="0" applyNumberFormat="1" applyFont="1" applyFill="1" applyBorder="1" applyAlignment="1">
      <alignment horizontal="center" vertical="center"/>
    </xf>
    <xf numFmtId="1" fontId="9" fillId="2" borderId="75" xfId="0" applyNumberFormat="1" applyFont="1" applyFill="1" applyBorder="1" applyAlignment="1">
      <alignment horizontal="center" vertical="center"/>
    </xf>
    <xf numFmtId="1" fontId="9" fillId="2" borderId="77" xfId="0" applyNumberFormat="1" applyFont="1" applyFill="1" applyBorder="1" applyAlignment="1">
      <alignment horizontal="center" vertical="center"/>
    </xf>
    <xf numFmtId="0" fontId="9" fillId="0" borderId="0" xfId="0" applyFont="1" applyBorder="1" applyAlignment="1">
      <alignment horizontal="right" vertical="center"/>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2" fontId="0" fillId="0" borderId="21" xfId="0" applyNumberFormat="1" applyBorder="1" applyAlignment="1">
      <alignment horizontal="center" vertical="center"/>
    </xf>
    <xf numFmtId="2" fontId="0" fillId="0" borderId="74" xfId="0" applyNumberFormat="1" applyBorder="1" applyAlignment="1">
      <alignment horizontal="center" vertical="center"/>
    </xf>
    <xf numFmtId="0" fontId="0" fillId="0" borderId="20" xfId="0" applyBorder="1" applyAlignment="1">
      <alignment horizontal="right" vertical="center"/>
    </xf>
    <xf numFmtId="0" fontId="0" fillId="0" borderId="22" xfId="0" applyBorder="1" applyAlignment="1">
      <alignment horizontal="right" vertical="center"/>
    </xf>
    <xf numFmtId="0" fontId="0" fillId="3" borderId="15"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2" fontId="0" fillId="0" borderId="20" xfId="0" applyNumberFormat="1" applyBorder="1" applyAlignment="1">
      <alignment horizontal="center" vertical="center"/>
    </xf>
    <xf numFmtId="2" fontId="0" fillId="0" borderId="22" xfId="0" applyNumberFormat="1" applyBorder="1" applyAlignment="1">
      <alignment horizontal="center" vertical="center"/>
    </xf>
    <xf numFmtId="0" fontId="0" fillId="0" borderId="72" xfId="0" applyBorder="1" applyAlignment="1">
      <alignment horizontal="right" vertical="center"/>
    </xf>
    <xf numFmtId="0" fontId="0" fillId="0" borderId="85" xfId="0" applyBorder="1" applyAlignment="1">
      <alignment horizontal="right" vertical="center"/>
    </xf>
    <xf numFmtId="14" fontId="8" fillId="3" borderId="20" xfId="0" applyNumberFormat="1" applyFont="1" applyFill="1" applyBorder="1" applyAlignment="1" applyProtection="1">
      <alignment horizontal="left" vertical="center"/>
      <protection locked="0"/>
    </xf>
    <xf numFmtId="0" fontId="8" fillId="3" borderId="75" xfId="0" applyFont="1" applyFill="1" applyBorder="1" applyAlignment="1" applyProtection="1">
      <alignment horizontal="left" vertical="center"/>
      <protection locked="0"/>
    </xf>
    <xf numFmtId="0" fontId="8" fillId="3" borderId="76" xfId="0" applyFont="1" applyFill="1" applyBorder="1" applyAlignment="1" applyProtection="1">
      <alignment horizontal="left" vertical="center"/>
      <protection locked="0"/>
    </xf>
    <xf numFmtId="0" fontId="8" fillId="3" borderId="79" xfId="0" applyFont="1" applyFill="1" applyBorder="1" applyAlignment="1" applyProtection="1">
      <alignment horizontal="left" vertical="center"/>
      <protection locked="0"/>
    </xf>
    <xf numFmtId="0" fontId="0" fillId="0" borderId="75" xfId="0" applyBorder="1" applyAlignment="1">
      <alignment horizontal="right" vertical="center"/>
    </xf>
    <xf numFmtId="0" fontId="0" fillId="0" borderId="76" xfId="0" applyBorder="1" applyAlignment="1">
      <alignment horizontal="right" vertical="center"/>
    </xf>
    <xf numFmtId="0" fontId="0" fillId="0" borderId="77" xfId="0" applyBorder="1" applyAlignment="1">
      <alignment horizontal="right" vertical="center"/>
    </xf>
    <xf numFmtId="0" fontId="0" fillId="0" borderId="73" xfId="0" applyBorder="1" applyAlignment="1">
      <alignment horizontal="right" vertical="center"/>
    </xf>
    <xf numFmtId="0" fontId="8" fillId="3" borderId="21"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8" fillId="3" borderId="82" xfId="0" applyFont="1" applyFill="1" applyBorder="1" applyAlignment="1" applyProtection="1">
      <alignment horizontal="left" vertical="center"/>
      <protection locked="0"/>
    </xf>
    <xf numFmtId="0" fontId="0" fillId="3" borderId="73"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164" fontId="0" fillId="3" borderId="15" xfId="0" applyNumberFormat="1" applyFill="1" applyBorder="1" applyAlignment="1" applyProtection="1">
      <alignment horizontal="center" vertical="center"/>
      <protection locked="0"/>
    </xf>
    <xf numFmtId="1" fontId="0" fillId="3" borderId="20" xfId="0" applyNumberFormat="1" applyFill="1" applyBorder="1" applyAlignment="1" applyProtection="1">
      <alignment horizontal="center" vertical="center"/>
      <protection locked="0"/>
    </xf>
    <xf numFmtId="1" fontId="0" fillId="3" borderId="22" xfId="0" applyNumberFormat="1" applyFill="1" applyBorder="1" applyAlignment="1" applyProtection="1">
      <alignment horizontal="center" vertical="center"/>
      <protection locked="0"/>
    </xf>
    <xf numFmtId="0" fontId="6" fillId="0" borderId="20" xfId="0" applyFont="1" applyBorder="1" applyAlignment="1">
      <alignment horizontal="right" vertical="center"/>
    </xf>
    <xf numFmtId="164" fontId="0" fillId="2" borderId="15" xfId="0" applyNumberFormat="1" applyFill="1" applyBorder="1" applyAlignment="1" applyProtection="1">
      <alignment horizontal="center" vertical="center"/>
    </xf>
    <xf numFmtId="2" fontId="0" fillId="3" borderId="20" xfId="0" applyNumberFormat="1" applyFill="1" applyBorder="1" applyAlignment="1" applyProtection="1">
      <alignment horizontal="center" vertical="center"/>
      <protection locked="0"/>
    </xf>
    <xf numFmtId="2" fontId="0" fillId="3" borderId="22" xfId="0" applyNumberFormat="1" applyFill="1" applyBorder="1" applyAlignment="1" applyProtection="1">
      <alignment horizontal="center" vertical="center"/>
      <protection locked="0"/>
    </xf>
    <xf numFmtId="0" fontId="0" fillId="0" borderId="25" xfId="0" applyBorder="1" applyAlignment="1">
      <alignment horizontal="right" vertical="center"/>
    </xf>
    <xf numFmtId="0" fontId="0" fillId="0" borderId="0" xfId="0" applyBorder="1" applyAlignment="1">
      <alignment horizontal="right" vertical="center"/>
    </xf>
    <xf numFmtId="0" fontId="0" fillId="3" borderId="78" xfId="0" applyFill="1" applyBorder="1" applyAlignment="1" applyProtection="1">
      <alignment horizontal="center" vertical="center"/>
      <protection locked="0"/>
    </xf>
    <xf numFmtId="0" fontId="0" fillId="0" borderId="8" xfId="0" applyBorder="1" applyAlignment="1">
      <alignment horizontal="right" vertical="center"/>
    </xf>
    <xf numFmtId="0" fontId="0" fillId="0" borderId="0" xfId="0" applyBorder="1" applyAlignment="1">
      <alignment horizontal="left" vertical="center"/>
    </xf>
    <xf numFmtId="0" fontId="0" fillId="0" borderId="21" xfId="0" applyBorder="1" applyAlignment="1">
      <alignment horizontal="right" vertical="center"/>
    </xf>
    <xf numFmtId="0" fontId="0" fillId="0" borderId="30" xfId="0" applyBorder="1" applyAlignment="1">
      <alignment horizontal="right" vertical="center"/>
    </xf>
    <xf numFmtId="0" fontId="0" fillId="0" borderId="74" xfId="0" applyBorder="1" applyAlignment="1">
      <alignment horizontal="right" vertical="center"/>
    </xf>
    <xf numFmtId="0" fontId="0" fillId="0" borderId="0" xfId="0" applyBorder="1" applyAlignment="1">
      <alignment horizontal="right" vertical="center" wrapText="1"/>
    </xf>
    <xf numFmtId="0" fontId="0" fillId="3" borderId="15" xfId="0" applyFill="1" applyBorder="1" applyAlignment="1" applyProtection="1">
      <alignment horizontal="center" vertical="center"/>
    </xf>
    <xf numFmtId="0" fontId="9" fillId="0" borderId="11" xfId="0" applyFont="1" applyBorder="1" applyAlignment="1">
      <alignment horizontal="center" vertical="center" textRotation="90"/>
    </xf>
    <xf numFmtId="0" fontId="9" fillId="0" borderId="12" xfId="0" applyFont="1" applyBorder="1" applyAlignment="1">
      <alignment horizontal="center" vertical="center" textRotation="90"/>
    </xf>
    <xf numFmtId="0" fontId="9" fillId="0" borderId="13" xfId="0" applyFont="1" applyBorder="1" applyAlignment="1">
      <alignment horizontal="center" vertical="center" textRotation="90"/>
    </xf>
    <xf numFmtId="0" fontId="6" fillId="3" borderId="75" xfId="0" applyFont="1" applyFill="1" applyBorder="1" applyAlignment="1" applyProtection="1">
      <alignment horizontal="left" vertical="center"/>
      <protection locked="0"/>
    </xf>
    <xf numFmtId="0" fontId="6" fillId="3" borderId="76" xfId="0" applyFont="1" applyFill="1" applyBorder="1" applyAlignment="1" applyProtection="1">
      <alignment horizontal="left" vertical="center"/>
      <protection locked="0"/>
    </xf>
    <xf numFmtId="0" fontId="6" fillId="3" borderId="20" xfId="0" applyFont="1" applyFill="1" applyBorder="1" applyAlignment="1" applyProtection="1">
      <alignment horizontal="left" vertical="center"/>
      <protection locked="0"/>
    </xf>
    <xf numFmtId="0" fontId="6" fillId="3" borderId="73" xfId="0" applyFont="1" applyFill="1" applyBorder="1" applyAlignment="1" applyProtection="1">
      <alignment horizontal="left" vertical="center"/>
      <protection locked="0"/>
    </xf>
    <xf numFmtId="0" fontId="4" fillId="0" borderId="10" xfId="0" applyFont="1" applyBorder="1" applyAlignment="1">
      <alignment horizontal="left" vertical="center"/>
    </xf>
    <xf numFmtId="0" fontId="6" fillId="3" borderId="75" xfId="0" applyFont="1" applyFill="1" applyBorder="1" applyAlignment="1" applyProtection="1">
      <alignment horizontal="left"/>
      <protection locked="0"/>
    </xf>
    <xf numFmtId="0" fontId="6" fillId="3" borderId="76" xfId="0" applyFont="1" applyFill="1" applyBorder="1" applyAlignment="1" applyProtection="1">
      <alignment horizontal="left"/>
      <protection locked="0"/>
    </xf>
    <xf numFmtId="0" fontId="6" fillId="3" borderId="20" xfId="0" applyFont="1" applyFill="1" applyBorder="1" applyAlignment="1" applyProtection="1">
      <alignment horizontal="left"/>
      <protection locked="0"/>
    </xf>
    <xf numFmtId="0" fontId="6" fillId="3" borderId="73" xfId="0" applyFont="1" applyFill="1" applyBorder="1" applyAlignment="1" applyProtection="1">
      <alignment horizontal="left"/>
      <protection locked="0"/>
    </xf>
    <xf numFmtId="0" fontId="0" fillId="0" borderId="55" xfId="0" applyBorder="1" applyAlignment="1">
      <alignment horizontal="center" vertical="center"/>
    </xf>
    <xf numFmtId="0" fontId="0" fillId="0" borderId="81" xfId="0" applyBorder="1" applyAlignment="1">
      <alignment horizontal="center" vertical="center"/>
    </xf>
    <xf numFmtId="0" fontId="0" fillId="0" borderId="75" xfId="0" applyBorder="1" applyAlignment="1" applyProtection="1">
      <alignment horizontal="left"/>
      <protection locked="0"/>
    </xf>
    <xf numFmtId="0" fontId="0" fillId="0" borderId="77" xfId="0" applyBorder="1" applyAlignment="1" applyProtection="1">
      <alignment horizontal="left"/>
      <protection locked="0"/>
    </xf>
    <xf numFmtId="0" fontId="0" fillId="2" borderId="20" xfId="0" applyFill="1" applyBorder="1" applyAlignment="1" applyProtection="1">
      <alignment horizontal="center" vertical="center"/>
    </xf>
    <xf numFmtId="0" fontId="0" fillId="2" borderId="22" xfId="0" applyFill="1" applyBorder="1" applyAlignment="1" applyProtection="1">
      <alignment horizontal="center" vertical="center"/>
    </xf>
    <xf numFmtId="1" fontId="6" fillId="0" borderId="0" xfId="0" applyNumberFormat="1" applyFont="1" applyFill="1" applyBorder="1" applyAlignment="1">
      <alignment horizontal="center" vertical="center"/>
    </xf>
    <xf numFmtId="0" fontId="11" fillId="0" borderId="75" xfId="0" applyFont="1" applyBorder="1" applyAlignment="1" applyProtection="1">
      <alignment horizontal="center" vertical="center"/>
      <protection locked="0"/>
    </xf>
    <xf numFmtId="0" fontId="11" fillId="0" borderId="76" xfId="0" applyFont="1" applyBorder="1" applyAlignment="1" applyProtection="1">
      <alignment horizontal="center" vertical="center"/>
      <protection locked="0"/>
    </xf>
    <xf numFmtId="0" fontId="11" fillId="0" borderId="79" xfId="0" applyFont="1" applyBorder="1" applyAlignment="1" applyProtection="1">
      <alignment horizontal="center" vertical="center"/>
      <protection locked="0"/>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80" xfId="0" applyFont="1" applyBorder="1" applyAlignment="1">
      <alignment horizontal="center" vertical="center"/>
    </xf>
    <xf numFmtId="0" fontId="0" fillId="0" borderId="21" xfId="0" applyBorder="1" applyAlignment="1" applyProtection="1">
      <alignment horizontal="left"/>
      <protection locked="0"/>
    </xf>
    <xf numFmtId="0" fontId="0" fillId="0" borderId="74" xfId="0" applyBorder="1" applyAlignment="1" applyProtection="1">
      <alignment horizontal="left"/>
      <protection locked="0"/>
    </xf>
    <xf numFmtId="0" fontId="0" fillId="0" borderId="75" xfId="0" applyBorder="1" applyAlignment="1" applyProtection="1">
      <alignment horizontal="left" vertical="center"/>
      <protection locked="0"/>
    </xf>
    <xf numFmtId="0" fontId="0" fillId="0" borderId="77" xfId="0" applyBorder="1" applyAlignment="1" applyProtection="1">
      <alignment horizontal="left" vertical="center"/>
      <protection locked="0"/>
    </xf>
    <xf numFmtId="0" fontId="4" fillId="0" borderId="72" xfId="0" applyFont="1" applyBorder="1" applyAlignment="1">
      <alignment horizontal="right" vertical="center"/>
    </xf>
    <xf numFmtId="0" fontId="20" fillId="0" borderId="75" xfId="0" applyFont="1" applyBorder="1" applyAlignment="1">
      <alignment horizontal="right" vertical="center"/>
    </xf>
    <xf numFmtId="0" fontId="20" fillId="0" borderId="76" xfId="0" applyFont="1" applyBorder="1" applyAlignment="1">
      <alignment horizontal="right" vertical="center"/>
    </xf>
    <xf numFmtId="0" fontId="20" fillId="0" borderId="77" xfId="0" applyFont="1" applyBorder="1" applyAlignment="1">
      <alignment horizontal="right" vertical="center"/>
    </xf>
    <xf numFmtId="1" fontId="4" fillId="2" borderId="20" xfId="0" applyNumberFormat="1" applyFont="1" applyFill="1" applyBorder="1" applyAlignment="1">
      <alignment horizontal="center" vertical="center"/>
    </xf>
    <xf numFmtId="1" fontId="4" fillId="2" borderId="22" xfId="0" applyNumberFormat="1" applyFont="1" applyFill="1" applyBorder="1" applyAlignment="1">
      <alignment horizontal="center" vertical="center"/>
    </xf>
    <xf numFmtId="1" fontId="6" fillId="2" borderId="20" xfId="0" applyNumberFormat="1" applyFont="1" applyFill="1" applyBorder="1" applyAlignment="1">
      <alignment horizontal="center" vertical="center"/>
    </xf>
    <xf numFmtId="1" fontId="6" fillId="2" borderId="22" xfId="0" applyNumberFormat="1" applyFont="1" applyFill="1" applyBorder="1" applyAlignment="1">
      <alignment horizontal="center" vertical="center"/>
    </xf>
    <xf numFmtId="0" fontId="11" fillId="0" borderId="75" xfId="0" applyFont="1" applyBorder="1" applyAlignment="1">
      <alignment horizontal="right" vertical="center"/>
    </xf>
    <xf numFmtId="0" fontId="11" fillId="0" borderId="76" xfId="0" applyFont="1" applyBorder="1" applyAlignment="1">
      <alignment horizontal="right" vertical="center"/>
    </xf>
    <xf numFmtId="0" fontId="11" fillId="0" borderId="77" xfId="0" applyFont="1" applyBorder="1" applyAlignment="1">
      <alignment horizontal="right" vertical="center"/>
    </xf>
    <xf numFmtId="0" fontId="9" fillId="2" borderId="75" xfId="0" applyFont="1" applyFill="1" applyBorder="1" applyAlignment="1" applyProtection="1">
      <alignment horizontal="center" vertical="center"/>
      <protection locked="0"/>
    </xf>
    <xf numFmtId="0" fontId="9" fillId="2" borderId="76" xfId="0" applyFont="1" applyFill="1" applyBorder="1" applyAlignment="1" applyProtection="1">
      <alignment horizontal="center" vertical="center"/>
      <protection locked="0"/>
    </xf>
    <xf numFmtId="0" fontId="9" fillId="2" borderId="79" xfId="0" applyFont="1" applyFill="1" applyBorder="1" applyAlignment="1" applyProtection="1">
      <alignment horizontal="center" vertical="center"/>
      <protection locked="0"/>
    </xf>
    <xf numFmtId="0" fontId="11" fillId="0" borderId="4" xfId="0" applyFont="1" applyBorder="1" applyAlignment="1">
      <alignment horizontal="right" vertical="center"/>
    </xf>
    <xf numFmtId="0" fontId="4" fillId="0" borderId="0" xfId="0" applyFont="1" applyBorder="1" applyAlignment="1">
      <alignment horizontal="right" vertical="center"/>
    </xf>
    <xf numFmtId="0" fontId="0" fillId="2" borderId="20" xfId="0" applyFill="1" applyBorder="1" applyAlignment="1">
      <alignment horizontal="center" vertical="center"/>
    </xf>
    <xf numFmtId="0" fontId="0" fillId="2" borderId="73" xfId="0" applyFill="1" applyBorder="1" applyAlignment="1">
      <alignment horizontal="center" vertical="center"/>
    </xf>
    <xf numFmtId="0" fontId="0" fillId="2" borderId="22" xfId="0" applyFill="1" applyBorder="1" applyAlignment="1">
      <alignment horizontal="center" vertical="center"/>
    </xf>
    <xf numFmtId="0" fontId="16" fillId="0" borderId="20" xfId="0" applyFont="1" applyBorder="1" applyAlignment="1">
      <alignment horizontal="center" vertical="center"/>
    </xf>
    <xf numFmtId="0" fontId="16" fillId="0" borderId="22" xfId="0" applyFont="1" applyBorder="1" applyAlignment="1">
      <alignment horizontal="center" vertical="center"/>
    </xf>
    <xf numFmtId="0" fontId="4" fillId="0" borderId="20" xfId="0" applyFont="1" applyBorder="1" applyAlignment="1">
      <alignment horizontal="center" vertical="center"/>
    </xf>
    <xf numFmtId="0" fontId="4" fillId="0" borderId="78" xfId="0" applyFont="1" applyBorder="1" applyAlignment="1">
      <alignment horizontal="center" vertical="center"/>
    </xf>
    <xf numFmtId="0" fontId="13" fillId="0" borderId="20" xfId="0" applyFont="1" applyFill="1" applyBorder="1" applyAlignment="1">
      <alignment horizontal="center" vertical="center"/>
    </xf>
    <xf numFmtId="0" fontId="13" fillId="0" borderId="22" xfId="0" applyFont="1" applyFill="1" applyBorder="1" applyAlignment="1">
      <alignment horizontal="center" vertical="center"/>
    </xf>
    <xf numFmtId="0" fontId="0" fillId="0" borderId="20" xfId="0" applyBorder="1" applyAlignment="1">
      <alignment horizontal="center" vertical="center"/>
    </xf>
    <xf numFmtId="0" fontId="0" fillId="0" borderId="78" xfId="0"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2" borderId="7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87" xfId="0" applyFont="1" applyFill="1" applyBorder="1" applyAlignment="1">
      <alignment horizontal="center"/>
    </xf>
    <xf numFmtId="0" fontId="4" fillId="2" borderId="5" xfId="0" applyFont="1" applyFill="1" applyBorder="1" applyAlignment="1">
      <alignment horizontal="center"/>
    </xf>
    <xf numFmtId="0" fontId="0" fillId="0" borderId="15" xfId="0" applyBorder="1" applyAlignment="1">
      <alignment horizontal="center" vertical="center"/>
    </xf>
    <xf numFmtId="0" fontId="0" fillId="0" borderId="16" xfId="0" applyBorder="1" applyAlignment="1">
      <alignment horizontal="center" vertical="center"/>
    </xf>
    <xf numFmtId="0" fontId="0" fillId="2" borderId="20" xfId="0" applyFill="1" applyBorder="1" applyAlignment="1">
      <alignment horizontal="left" vertical="center" indent="1"/>
    </xf>
    <xf numFmtId="0" fontId="0" fillId="2" borderId="73" xfId="0" applyFill="1" applyBorder="1" applyAlignment="1">
      <alignment horizontal="left" vertical="center" indent="1"/>
    </xf>
    <xf numFmtId="0" fontId="0" fillId="2" borderId="22" xfId="0" applyFill="1" applyBorder="1" applyAlignment="1">
      <alignment horizontal="left" vertical="center" indent="1"/>
    </xf>
    <xf numFmtId="0" fontId="13" fillId="0" borderId="21" xfId="0" applyFont="1" applyFill="1" applyBorder="1" applyAlignment="1">
      <alignment horizontal="center" vertical="center"/>
    </xf>
    <xf numFmtId="0" fontId="13" fillId="0" borderId="74" xfId="0" applyFont="1" applyFill="1" applyBorder="1" applyAlignment="1">
      <alignment horizontal="center" vertical="center"/>
    </xf>
    <xf numFmtId="0" fontId="0" fillId="0" borderId="29" xfId="0" applyBorder="1" applyAlignment="1">
      <alignment horizontal="center" vertical="center"/>
    </xf>
    <xf numFmtId="0" fontId="0" fillId="0" borderId="17" xfId="0" applyBorder="1" applyAlignment="1">
      <alignment horizontal="center" vertical="center"/>
    </xf>
    <xf numFmtId="1" fontId="4" fillId="0" borderId="32" xfId="0" applyNumberFormat="1" applyFont="1" applyBorder="1" applyAlignment="1">
      <alignment horizontal="center" vertical="center"/>
    </xf>
    <xf numFmtId="1" fontId="4" fillId="0" borderId="86" xfId="0" applyNumberFormat="1" applyFont="1" applyBorder="1" applyAlignment="1">
      <alignment horizontal="center" vertical="center"/>
    </xf>
    <xf numFmtId="0" fontId="0" fillId="0" borderId="32" xfId="0" applyBorder="1" applyAlignment="1">
      <alignment horizontal="center" vertical="center"/>
    </xf>
    <xf numFmtId="0" fontId="9" fillId="2" borderId="75" xfId="0" applyFont="1" applyFill="1" applyBorder="1" applyAlignment="1" applyProtection="1">
      <alignment horizontal="center" vertical="center"/>
    </xf>
    <xf numFmtId="0" fontId="9" fillId="2" borderId="76" xfId="0" applyFont="1" applyFill="1" applyBorder="1" applyAlignment="1" applyProtection="1">
      <alignment horizontal="center" vertical="center"/>
    </xf>
    <xf numFmtId="0" fontId="9" fillId="2" borderId="79" xfId="0" applyFont="1" applyFill="1" applyBorder="1" applyAlignment="1" applyProtection="1">
      <alignment horizontal="center" vertical="center"/>
    </xf>
    <xf numFmtId="1" fontId="4" fillId="0" borderId="20" xfId="0" applyNumberFormat="1" applyFont="1" applyFill="1" applyBorder="1" applyAlignment="1">
      <alignment horizontal="center" vertical="center"/>
    </xf>
    <xf numFmtId="1" fontId="4" fillId="0" borderId="22" xfId="0" applyNumberFormat="1" applyFont="1" applyFill="1" applyBorder="1" applyAlignment="1">
      <alignment horizontal="center" vertical="center"/>
    </xf>
    <xf numFmtId="0" fontId="0" fillId="0" borderId="20" xfId="0" applyBorder="1" applyAlignment="1">
      <alignment horizontal="center"/>
    </xf>
    <xf numFmtId="0" fontId="0" fillId="0" borderId="78" xfId="0" applyBorder="1" applyAlignment="1">
      <alignment horizontal="center"/>
    </xf>
    <xf numFmtId="0" fontId="4" fillId="2" borderId="87" xfId="0" applyFont="1" applyFill="1" applyBorder="1" applyAlignment="1">
      <alignment horizontal="center" vertical="center"/>
    </xf>
    <xf numFmtId="0" fontId="4" fillId="2" borderId="5"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1" fontId="4" fillId="0" borderId="21" xfId="0" applyNumberFormat="1" applyFont="1" applyFill="1" applyBorder="1" applyAlignment="1">
      <alignment horizontal="center" vertical="center"/>
    </xf>
    <xf numFmtId="1" fontId="4" fillId="0" borderId="74" xfId="0" applyNumberFormat="1" applyFont="1" applyFill="1" applyBorder="1" applyAlignment="1">
      <alignment horizontal="center" vertical="center"/>
    </xf>
    <xf numFmtId="0" fontId="0" fillId="0" borderId="29" xfId="0" applyBorder="1" applyAlignment="1">
      <alignment horizontal="center"/>
    </xf>
    <xf numFmtId="0" fontId="0" fillId="0" borderId="17" xfId="0" applyBorder="1" applyAlignment="1">
      <alignment horizontal="center"/>
    </xf>
    <xf numFmtId="1" fontId="4" fillId="0" borderId="72" xfId="0" applyNumberFormat="1" applyFont="1" applyBorder="1" applyAlignment="1">
      <alignment horizontal="center" vertical="center"/>
    </xf>
    <xf numFmtId="1" fontId="4" fillId="0" borderId="85" xfId="0" applyNumberFormat="1" applyFont="1" applyBorder="1" applyAlignment="1">
      <alignment horizontal="center" vertical="center"/>
    </xf>
    <xf numFmtId="0" fontId="0" fillId="0" borderId="72" xfId="0" applyBorder="1" applyAlignment="1">
      <alignment horizontal="center" vertical="center"/>
    </xf>
    <xf numFmtId="0" fontId="0" fillId="0" borderId="19" xfId="0" applyBorder="1" applyAlignment="1">
      <alignment horizontal="center" vertical="center"/>
    </xf>
    <xf numFmtId="0" fontId="17" fillId="5" borderId="33"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34" xfId="0" applyFont="1" applyFill="1" applyBorder="1" applyAlignment="1">
      <alignment horizontal="center" vertical="center" wrapText="1"/>
    </xf>
  </cellXfs>
  <cellStyles count="1">
    <cellStyle name="Standard" xfId="0" builtinId="0"/>
  </cellStyles>
  <dxfs count="110">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ill>
        <patternFill>
          <bgColor indexed="42"/>
        </patternFill>
      </fill>
    </dxf>
    <dxf>
      <fill>
        <patternFill patternType="none">
          <bgColor indexed="65"/>
        </patternFill>
      </fill>
    </dxf>
    <dxf>
      <fill>
        <patternFill>
          <bgColor indexed="42"/>
        </patternFill>
      </fill>
    </dxf>
    <dxf>
      <fill>
        <patternFill patternType="none">
          <bgColor indexed="65"/>
        </patternFill>
      </fill>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ill>
        <patternFill>
          <bgColor indexed="42"/>
        </patternFill>
      </fill>
    </dxf>
    <dxf>
      <fill>
        <patternFill patternType="none">
          <bgColor indexed="65"/>
        </patternFill>
      </fill>
    </dxf>
    <dxf>
      <fill>
        <patternFill>
          <bgColor indexed="42"/>
        </patternFill>
      </fill>
    </dxf>
    <dxf>
      <fill>
        <patternFill patternType="none">
          <bgColor indexed="65"/>
        </patternFill>
      </fill>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ill>
        <patternFill>
          <bgColor indexed="42"/>
        </patternFill>
      </fill>
    </dxf>
    <dxf>
      <fill>
        <patternFill patternType="none">
          <bgColor indexed="65"/>
        </patternFill>
      </fill>
    </dxf>
    <dxf>
      <fill>
        <patternFill>
          <bgColor indexed="42"/>
        </patternFill>
      </fill>
    </dxf>
    <dxf>
      <fill>
        <patternFill patternType="none">
          <bgColor indexed="65"/>
        </patternFill>
      </fill>
    </dxf>
    <dxf>
      <fill>
        <patternFill>
          <bgColor rgb="FFCCFFCC"/>
        </patternFill>
      </fill>
    </dxf>
    <dxf>
      <fill>
        <patternFill>
          <bgColor theme="9" tint="0.59996337778862885"/>
        </patternFill>
      </fill>
    </dxf>
    <dxf>
      <fill>
        <patternFill>
          <bgColor theme="9" tint="0.39994506668294322"/>
        </patternFill>
      </fill>
    </dxf>
    <dxf>
      <fill>
        <patternFill>
          <bgColor rgb="FFCCFFCC"/>
        </patternFill>
      </fill>
    </dxf>
    <dxf>
      <fill>
        <patternFill>
          <bgColor indexed="47"/>
        </patternFill>
      </fill>
    </dxf>
    <dxf>
      <fill>
        <patternFill>
          <bgColor indexed="42"/>
        </patternFill>
      </fill>
    </dxf>
    <dxf>
      <fill>
        <patternFill>
          <bgColor indexed="47"/>
        </patternFill>
      </fill>
    </dxf>
    <dxf>
      <fill>
        <patternFill>
          <bgColor indexed="47"/>
        </patternFill>
      </fill>
    </dxf>
    <dxf>
      <fill>
        <patternFill>
          <bgColor indexed="42"/>
        </patternFill>
      </fill>
    </dxf>
    <dxf>
      <fill>
        <patternFill>
          <bgColor indexed="47"/>
        </patternFill>
      </fill>
    </dxf>
    <dxf>
      <fill>
        <patternFill>
          <bgColor rgb="FFFFCC99"/>
        </patternFill>
      </fill>
    </dxf>
    <dxf>
      <fill>
        <patternFill>
          <bgColor rgb="FFFFCC99"/>
        </patternFill>
      </fill>
    </dxf>
    <dxf>
      <fill>
        <patternFill>
          <bgColor rgb="FFCCFFCC"/>
        </patternFill>
      </fill>
    </dxf>
    <dxf>
      <fill>
        <patternFill>
          <bgColor rgb="FFFFCC99"/>
        </patternFill>
      </fill>
    </dxf>
    <dxf>
      <fill>
        <patternFill>
          <bgColor indexed="42"/>
        </patternFill>
      </fill>
    </dxf>
    <dxf>
      <fill>
        <patternFill>
          <bgColor indexed="42"/>
        </patternFill>
      </fill>
    </dxf>
    <dxf>
      <fill>
        <patternFill>
          <bgColor indexed="26"/>
        </patternFill>
      </fill>
    </dxf>
    <dxf>
      <fill>
        <patternFill>
          <bgColor indexed="42"/>
        </patternFill>
      </fill>
    </dxf>
    <dxf>
      <fill>
        <patternFill>
          <bgColor indexed="47"/>
        </patternFill>
      </fill>
    </dxf>
    <dxf>
      <fill>
        <patternFill>
          <bgColor indexed="26"/>
        </patternFill>
      </fill>
    </dxf>
    <dxf>
      <fill>
        <patternFill>
          <bgColor indexed="42"/>
        </patternFill>
      </fill>
    </dxf>
    <dxf>
      <fill>
        <patternFill>
          <bgColor indexed="47"/>
        </patternFill>
      </fill>
    </dxf>
    <dxf>
      <fill>
        <patternFill>
          <bgColor indexed="26"/>
        </patternFill>
      </fill>
    </dxf>
    <dxf>
      <fill>
        <patternFill>
          <bgColor indexed="47"/>
        </patternFill>
      </fill>
    </dxf>
    <dxf>
      <fill>
        <patternFill>
          <bgColor indexed="26"/>
        </patternFill>
      </fill>
    </dxf>
    <dxf>
      <fill>
        <patternFill>
          <bgColor indexed="47"/>
        </patternFill>
      </fill>
    </dxf>
    <dxf>
      <fill>
        <patternFill>
          <bgColor indexed="26"/>
        </patternFill>
      </fill>
    </dxf>
    <dxf>
      <fill>
        <patternFill>
          <bgColor indexed="47"/>
        </patternFill>
      </fill>
    </dxf>
    <dxf>
      <fill>
        <patternFill>
          <bgColor indexed="26"/>
        </patternFill>
      </fill>
    </dxf>
    <dxf>
      <fill>
        <patternFill>
          <bgColor indexed="47"/>
        </patternFill>
      </fill>
    </dxf>
    <dxf>
      <fill>
        <patternFill>
          <bgColor indexed="26"/>
        </patternFill>
      </fill>
    </dxf>
    <dxf>
      <fill>
        <patternFill>
          <bgColor indexed="47"/>
        </patternFill>
      </fill>
    </dxf>
    <dxf>
      <fill>
        <patternFill>
          <bgColor indexed="53"/>
        </patternFill>
      </fill>
    </dxf>
    <dxf>
      <fill>
        <patternFill>
          <bgColor indexed="42"/>
        </patternFill>
      </fill>
    </dxf>
    <dxf>
      <fill>
        <patternFill>
          <bgColor indexed="52"/>
        </patternFill>
      </fill>
    </dxf>
    <dxf>
      <fill>
        <patternFill>
          <bgColor indexed="42"/>
        </patternFill>
      </fill>
    </dxf>
    <dxf>
      <fill>
        <patternFill>
          <bgColor indexed="53"/>
        </patternFill>
      </fill>
    </dxf>
    <dxf>
      <fill>
        <patternFill>
          <bgColor indexed="42"/>
        </patternFill>
      </fill>
    </dxf>
    <dxf>
      <fill>
        <patternFill>
          <bgColor indexed="26"/>
        </patternFill>
      </fill>
    </dxf>
    <dxf>
      <fill>
        <patternFill>
          <bgColor indexed="47"/>
        </patternFill>
      </fill>
    </dxf>
    <dxf>
      <fill>
        <patternFill>
          <bgColor indexed="52"/>
        </patternFill>
      </fill>
    </dxf>
    <dxf>
      <fill>
        <patternFill>
          <bgColor indexed="42"/>
        </patternFill>
      </fill>
    </dxf>
    <dxf>
      <fill>
        <patternFill>
          <bgColor indexed="53"/>
        </patternFill>
      </fill>
    </dxf>
    <dxf>
      <fill>
        <patternFill>
          <bgColor rgb="FFCCFFCC"/>
        </patternFill>
      </fill>
    </dxf>
    <dxf>
      <fill>
        <patternFill>
          <bgColor rgb="FFFF9900"/>
        </patternFill>
      </fill>
    </dxf>
    <dxf>
      <fill>
        <patternFill>
          <bgColor rgb="FFCCFFCC"/>
        </patternFill>
      </fill>
    </dxf>
    <dxf>
      <fill>
        <patternFill>
          <bgColor rgb="FFFF9900"/>
        </patternFill>
      </fill>
    </dxf>
    <dxf>
      <fill>
        <patternFill>
          <bgColor rgb="FFFFCC99"/>
        </patternFill>
      </fill>
    </dxf>
    <dxf>
      <fill>
        <patternFill>
          <bgColor rgb="FFFFFFCC"/>
        </patternFill>
      </fill>
    </dxf>
    <dxf>
      <fill>
        <patternFill>
          <bgColor rgb="FFCCFFCC"/>
        </patternFill>
      </fill>
    </dxf>
    <dxf>
      <fill>
        <patternFill>
          <bgColor rgb="FFFFFFCC"/>
        </patternFill>
      </fill>
    </dxf>
    <dxf>
      <fill>
        <patternFill>
          <bgColor rgb="FFFFFFCC"/>
        </patternFill>
      </fill>
    </dxf>
    <dxf>
      <fill>
        <patternFill>
          <bgColor rgb="FFCCFFCC"/>
        </patternFill>
      </fill>
    </dxf>
    <dxf>
      <fill>
        <patternFill>
          <bgColor rgb="FFFFCC99"/>
        </patternFill>
      </fill>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ill>
        <patternFill>
          <bgColor indexed="53"/>
        </patternFill>
      </fill>
    </dxf>
    <dxf>
      <fill>
        <patternFill>
          <bgColor indexed="42"/>
        </patternFill>
      </fill>
    </dxf>
    <dxf>
      <fill>
        <patternFill patternType="none">
          <bgColor indexed="65"/>
        </patternFill>
      </fill>
    </dxf>
    <dxf>
      <fill>
        <patternFill>
          <bgColor indexed="26"/>
        </patternFill>
      </fill>
    </dxf>
    <dxf>
      <fill>
        <patternFill>
          <bgColor indexed="26"/>
        </patternFill>
      </fill>
    </dxf>
    <dxf>
      <fill>
        <patternFill>
          <bgColor indexed="42"/>
        </patternFill>
      </fill>
    </dxf>
    <dxf>
      <fill>
        <patternFill>
          <bgColor indexed="47"/>
        </patternFill>
      </fill>
    </dxf>
    <dxf>
      <fill>
        <patternFill>
          <bgColor indexed="26"/>
        </patternFill>
      </fill>
    </dxf>
    <dxf>
      <fill>
        <patternFill>
          <bgColor indexed="42"/>
        </patternFill>
      </fill>
    </dxf>
    <dxf>
      <fill>
        <patternFill>
          <bgColor indexed="47"/>
        </patternFill>
      </fill>
    </dxf>
    <dxf>
      <fill>
        <patternFill>
          <bgColor indexed="47"/>
        </patternFill>
      </fill>
    </dxf>
    <dxf>
      <fill>
        <patternFill>
          <bgColor indexed="26"/>
        </patternFill>
      </fill>
    </dxf>
    <dxf>
      <fill>
        <patternFill>
          <bgColor indexed="47"/>
        </patternFill>
      </fill>
    </dxf>
    <dxf>
      <fill>
        <patternFill>
          <bgColor indexed="47"/>
        </patternFill>
      </fill>
    </dxf>
    <dxf>
      <fill>
        <patternFill>
          <bgColor indexed="42"/>
        </patternFill>
      </fill>
    </dxf>
    <dxf>
      <fill>
        <patternFill>
          <bgColor indexed="4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66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CC"/>
      <color rgb="FFFF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38100</xdr:colOff>
      <xdr:row>46</xdr:row>
      <xdr:rowOff>114300</xdr:rowOff>
    </xdr:from>
    <xdr:to>
      <xdr:col>11</xdr:col>
      <xdr:colOff>371475</xdr:colOff>
      <xdr:row>47</xdr:row>
      <xdr:rowOff>47625</xdr:rowOff>
    </xdr:to>
    <xdr:sp macro="" textlink="">
      <xdr:nvSpPr>
        <xdr:cNvPr id="1499" name="AutoShape 1"/>
        <xdr:cNvSpPr>
          <a:spLocks noChangeArrowheads="1"/>
        </xdr:cNvSpPr>
      </xdr:nvSpPr>
      <xdr:spPr bwMode="auto">
        <a:xfrm>
          <a:off x="4229100" y="8715375"/>
          <a:ext cx="333375" cy="123825"/>
        </a:xfrm>
        <a:prstGeom prst="rightArrow">
          <a:avLst>
            <a:gd name="adj1" fmla="val 50000"/>
            <a:gd name="adj2" fmla="val 67308"/>
          </a:avLst>
        </a:prstGeom>
        <a:solidFill>
          <a:srgbClr val="FFFFFF"/>
        </a:solidFill>
        <a:ln w="9525">
          <a:solidFill>
            <a:srgbClr val="000000"/>
          </a:solidFill>
          <a:miter lim="800000"/>
          <a:headEnd/>
          <a:tailEnd/>
        </a:ln>
      </xdr:spPr>
    </xdr:sp>
    <xdr:clientData/>
  </xdr:twoCellAnchor>
  <xdr:twoCellAnchor>
    <xdr:from>
      <xdr:col>11</xdr:col>
      <xdr:colOff>38100</xdr:colOff>
      <xdr:row>49</xdr:row>
      <xdr:rowOff>114300</xdr:rowOff>
    </xdr:from>
    <xdr:to>
      <xdr:col>11</xdr:col>
      <xdr:colOff>371475</xdr:colOff>
      <xdr:row>50</xdr:row>
      <xdr:rowOff>47625</xdr:rowOff>
    </xdr:to>
    <xdr:sp macro="" textlink="">
      <xdr:nvSpPr>
        <xdr:cNvPr id="1500" name="AutoShape 123"/>
        <xdr:cNvSpPr>
          <a:spLocks noChangeArrowheads="1"/>
        </xdr:cNvSpPr>
      </xdr:nvSpPr>
      <xdr:spPr bwMode="auto">
        <a:xfrm>
          <a:off x="4229100" y="9286875"/>
          <a:ext cx="333375" cy="123825"/>
        </a:xfrm>
        <a:prstGeom prst="rightArrow">
          <a:avLst>
            <a:gd name="adj1" fmla="val 50000"/>
            <a:gd name="adj2" fmla="val 67308"/>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16</xdr:col>
          <xdr:colOff>57150</xdr:colOff>
          <xdr:row>65</xdr:row>
          <xdr:rowOff>28575</xdr:rowOff>
        </xdr:from>
        <xdr:to>
          <xdr:col>16</xdr:col>
          <xdr:colOff>419100</xdr:colOff>
          <xdr:row>65</xdr:row>
          <xdr:rowOff>171450</xdr:rowOff>
        </xdr:to>
        <xdr:sp macro="" textlink="">
          <xdr:nvSpPr>
            <xdr:cNvPr id="1241" name="OptionButton1" hidden="1">
              <a:extLst>
                <a:ext uri="{63B3BB69-23CF-44E3-9099-C40C66FF867C}">
                  <a14:compatExt spid="_x0000_s12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66</xdr:row>
          <xdr:rowOff>28575</xdr:rowOff>
        </xdr:from>
        <xdr:to>
          <xdr:col>16</xdr:col>
          <xdr:colOff>419100</xdr:colOff>
          <xdr:row>66</xdr:row>
          <xdr:rowOff>171450</xdr:rowOff>
        </xdr:to>
        <xdr:sp macro="" textlink="">
          <xdr:nvSpPr>
            <xdr:cNvPr id="1243" name="OptionButton3" hidden="1">
              <a:extLst>
                <a:ext uri="{63B3BB69-23CF-44E3-9099-C40C66FF867C}">
                  <a14:compatExt spid="_x0000_s12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67</xdr:row>
          <xdr:rowOff>28575</xdr:rowOff>
        </xdr:from>
        <xdr:to>
          <xdr:col>16</xdr:col>
          <xdr:colOff>419100</xdr:colOff>
          <xdr:row>67</xdr:row>
          <xdr:rowOff>171450</xdr:rowOff>
        </xdr:to>
        <xdr:sp macro="" textlink="">
          <xdr:nvSpPr>
            <xdr:cNvPr id="1242" name="OptionButton2" hidden="1">
              <a:extLst>
                <a:ext uri="{63B3BB69-23CF-44E3-9099-C40C66FF867C}">
                  <a14:compatExt spid="_x0000_s12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65</xdr:row>
          <xdr:rowOff>28575</xdr:rowOff>
        </xdr:from>
        <xdr:to>
          <xdr:col>12</xdr:col>
          <xdr:colOff>0</xdr:colOff>
          <xdr:row>65</xdr:row>
          <xdr:rowOff>171450</xdr:rowOff>
        </xdr:to>
        <xdr:sp macro="" textlink="">
          <xdr:nvSpPr>
            <xdr:cNvPr id="1073" name="OB3" hidden="1">
              <a:extLst>
                <a:ext uri="{63B3BB69-23CF-44E3-9099-C40C66FF867C}">
                  <a14:compatExt spid="_x0000_s10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66</xdr:row>
          <xdr:rowOff>28575</xdr:rowOff>
        </xdr:from>
        <xdr:to>
          <xdr:col>12</xdr:col>
          <xdr:colOff>0</xdr:colOff>
          <xdr:row>66</xdr:row>
          <xdr:rowOff>171450</xdr:rowOff>
        </xdr:to>
        <xdr:sp macro="" textlink="">
          <xdr:nvSpPr>
            <xdr:cNvPr id="1075" name="OptionButton4" hidden="1">
              <a:extLst>
                <a:ext uri="{63B3BB69-23CF-44E3-9099-C40C66FF867C}">
                  <a14:compatExt spid="_x0000_s10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67</xdr:row>
          <xdr:rowOff>28575</xdr:rowOff>
        </xdr:from>
        <xdr:to>
          <xdr:col>12</xdr:col>
          <xdr:colOff>0</xdr:colOff>
          <xdr:row>67</xdr:row>
          <xdr:rowOff>171450</xdr:rowOff>
        </xdr:to>
        <xdr:sp macro="" textlink="">
          <xdr:nvSpPr>
            <xdr:cNvPr id="1076" name="OptionButton5" hidden="1">
              <a:extLst>
                <a:ext uri="{63B3BB69-23CF-44E3-9099-C40C66FF867C}">
                  <a14:compatExt spid="_x0000_s1076"/>
                </a:ext>
              </a:extLst>
            </xdr:cNvPr>
            <xdr:cNvSpPr/>
          </xdr:nvSpPr>
          <xdr:spPr>
            <a:xfrm>
              <a:off x="0" y="0"/>
              <a:ext cx="0" cy="0"/>
            </a:xfrm>
            <a:prstGeom prst="rect">
              <a:avLst/>
            </a:prstGeom>
          </xdr:spPr>
        </xdr:sp>
        <xdr:clientData fLocksWithSheet="0"/>
      </xdr:twoCellAnchor>
    </mc:Choice>
    <mc:Fallback/>
  </mc:AlternateContent>
  <xdr:oneCellAnchor>
    <xdr:from>
      <xdr:col>2</xdr:col>
      <xdr:colOff>0</xdr:colOff>
      <xdr:row>28</xdr:row>
      <xdr:rowOff>0</xdr:rowOff>
    </xdr:from>
    <xdr:ext cx="6902823" cy="718466"/>
    <xdr:sp macro="" textlink="">
      <xdr:nvSpPr>
        <xdr:cNvPr id="11" name="Rechteck 10"/>
        <xdr:cNvSpPr/>
      </xdr:nvSpPr>
      <xdr:spPr>
        <a:xfrm>
          <a:off x="1064559" y="5210735"/>
          <a:ext cx="6902823" cy="718466"/>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de-DE" sz="4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nicht</a:t>
          </a:r>
          <a:r>
            <a:rPr lang="de-DE" sz="4000" b="1" cap="none" spc="0" baseline="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 validierte Testversion</a:t>
          </a:r>
          <a:endParaRPr lang="de-DE" sz="4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7700596" cy="718466"/>
    <xdr:sp macro="" textlink="">
      <xdr:nvSpPr>
        <xdr:cNvPr id="2" name="Rechteck 1"/>
        <xdr:cNvSpPr/>
      </xdr:nvSpPr>
      <xdr:spPr>
        <a:xfrm>
          <a:off x="0" y="257175"/>
          <a:ext cx="7700596" cy="718466"/>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de-DE" sz="4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nicht</a:t>
          </a:r>
          <a:r>
            <a:rPr lang="de-DE" sz="4000" b="1" cap="none" spc="0" baseline="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 validierte Testversion</a:t>
          </a:r>
          <a:endParaRPr lang="de-DE" sz="4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241788</xdr:rowOff>
    </xdr:from>
    <xdr:ext cx="7700596" cy="718466"/>
    <xdr:sp macro="" textlink="">
      <xdr:nvSpPr>
        <xdr:cNvPr id="2" name="Rechteck 1"/>
        <xdr:cNvSpPr/>
      </xdr:nvSpPr>
      <xdr:spPr>
        <a:xfrm>
          <a:off x="0" y="241788"/>
          <a:ext cx="7700596" cy="718466"/>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de-DE" sz="4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nicht</a:t>
          </a:r>
          <a:r>
            <a:rPr lang="de-DE" sz="4000" b="1" cap="none" spc="0" baseline="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 validierte Testversion</a:t>
          </a:r>
          <a:endParaRPr lang="de-DE" sz="4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7700596" cy="718466"/>
    <xdr:sp macro="" textlink="">
      <xdr:nvSpPr>
        <xdr:cNvPr id="3" name="Rechteck 2"/>
        <xdr:cNvSpPr/>
      </xdr:nvSpPr>
      <xdr:spPr>
        <a:xfrm>
          <a:off x="0" y="256190"/>
          <a:ext cx="7700596" cy="718466"/>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de-DE" sz="4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nicht</a:t>
          </a:r>
          <a:r>
            <a:rPr lang="de-DE" sz="4000" b="1" cap="none" spc="0" baseline="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 validierte Testversion</a:t>
          </a:r>
          <a:endParaRPr lang="de-DE" sz="4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O79"/>
  <sheetViews>
    <sheetView showGridLines="0" zoomScaleNormal="100" zoomScaleSheetLayoutView="85" workbookViewId="0">
      <selection activeCell="O17" sqref="O17"/>
    </sheetView>
  </sheetViews>
  <sheetFormatPr baseColWidth="10" defaultRowHeight="12.75" x14ac:dyDescent="0.2"/>
  <cols>
    <col min="1" max="1" width="5.7109375" customWidth="1"/>
    <col min="2" max="2" width="12.7109375" customWidth="1"/>
    <col min="3" max="3" width="20.7109375" customWidth="1"/>
    <col min="4" max="4" width="1.7109375" customWidth="1"/>
    <col min="5" max="6" width="8.7109375" customWidth="1"/>
    <col min="7" max="7" width="5.7109375" customWidth="1"/>
    <col min="8" max="8" width="1.7109375" customWidth="1"/>
    <col min="9" max="9" width="20.7109375" customWidth="1"/>
    <col min="10" max="10" width="1.7109375" customWidth="1"/>
    <col min="11" max="11" width="10.7109375" customWidth="1"/>
    <col min="12" max="12" width="5.7109375" customWidth="1"/>
    <col min="13" max="41" width="11.42578125" style="271"/>
  </cols>
  <sheetData>
    <row r="1" spans="1:41" x14ac:dyDescent="0.2">
      <c r="I1" s="1" t="s">
        <v>16</v>
      </c>
      <c r="K1" s="336" t="s">
        <v>486</v>
      </c>
      <c r="L1" s="336"/>
    </row>
    <row r="2" spans="1:41" x14ac:dyDescent="0.2">
      <c r="I2" s="1" t="s">
        <v>90</v>
      </c>
      <c r="K2" s="337">
        <v>41812</v>
      </c>
      <c r="L2" s="338"/>
    </row>
    <row r="3" spans="1:41" ht="23.25" x14ac:dyDescent="0.35">
      <c r="A3" s="339" t="s">
        <v>419</v>
      </c>
      <c r="B3" s="339"/>
      <c r="C3" s="339"/>
      <c r="D3" s="339"/>
      <c r="E3" s="339"/>
      <c r="F3" s="339"/>
      <c r="G3" s="339"/>
      <c r="H3" s="339"/>
      <c r="I3" s="339"/>
      <c r="J3" s="339"/>
      <c r="K3" s="339"/>
      <c r="L3" s="339"/>
    </row>
    <row r="4" spans="1:41" ht="18" x14ac:dyDescent="0.25">
      <c r="A4" s="340" t="s">
        <v>0</v>
      </c>
      <c r="B4" s="340"/>
      <c r="C4" s="340"/>
      <c r="D4" s="340"/>
      <c r="E4" s="340"/>
      <c r="F4" s="340"/>
      <c r="G4" s="340"/>
      <c r="H4" s="340"/>
      <c r="I4" s="340"/>
      <c r="J4" s="340"/>
      <c r="K4" s="340"/>
      <c r="L4" s="340"/>
    </row>
    <row r="6" spans="1:41" s="5" customFormat="1" ht="18" x14ac:dyDescent="0.2">
      <c r="A6" s="6" t="s">
        <v>84</v>
      </c>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row>
    <row r="7" spans="1:41" s="5" customFormat="1" x14ac:dyDescent="0.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row>
    <row r="8" spans="1:41" s="5" customFormat="1" ht="14.1" customHeight="1" x14ac:dyDescent="0.2">
      <c r="A8" s="3" t="s">
        <v>88</v>
      </c>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row>
    <row r="9" spans="1:41" s="5" customFormat="1" ht="14.1" customHeight="1" x14ac:dyDescent="0.2">
      <c r="C9" s="30"/>
      <c r="E9" s="333" t="s">
        <v>85</v>
      </c>
      <c r="F9" s="334"/>
      <c r="G9" s="334"/>
      <c r="H9" s="334"/>
      <c r="I9" s="334"/>
      <c r="J9" s="334"/>
      <c r="K9" s="334"/>
      <c r="L9" s="335"/>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row>
    <row r="10" spans="1:41" s="5" customFormat="1" ht="8.1" customHeight="1" x14ac:dyDescent="0.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row>
    <row r="11" spans="1:41" s="5" customFormat="1" ht="14.1" customHeight="1" x14ac:dyDescent="0.2">
      <c r="C11" s="31"/>
      <c r="E11" s="333" t="s">
        <v>86</v>
      </c>
      <c r="F11" s="334"/>
      <c r="G11" s="334"/>
      <c r="H11" s="334"/>
      <c r="I11" s="334"/>
      <c r="J11" s="334"/>
      <c r="K11" s="334"/>
      <c r="L11" s="335"/>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row>
    <row r="12" spans="1:41" s="5" customFormat="1" ht="8.1" customHeight="1" x14ac:dyDescent="0.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row>
    <row r="13" spans="1:41" s="5" customFormat="1" ht="14.1" customHeight="1" x14ac:dyDescent="0.2">
      <c r="C13" s="174"/>
      <c r="E13" s="333" t="s">
        <v>397</v>
      </c>
      <c r="F13" s="334"/>
      <c r="G13" s="334"/>
      <c r="H13" s="334"/>
      <c r="I13" s="334"/>
      <c r="J13" s="334"/>
      <c r="K13" s="334"/>
      <c r="L13" s="335"/>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row>
    <row r="14" spans="1:41" s="5" customFormat="1" ht="8.1" customHeight="1" x14ac:dyDescent="0.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row>
    <row r="15" spans="1:41" s="5" customFormat="1" ht="14.1" customHeight="1" x14ac:dyDescent="0.2">
      <c r="C15" s="32"/>
      <c r="E15" s="333" t="s">
        <v>87</v>
      </c>
      <c r="F15" s="334"/>
      <c r="G15" s="334"/>
      <c r="H15" s="334"/>
      <c r="I15" s="334"/>
      <c r="J15" s="334"/>
      <c r="K15" s="334"/>
      <c r="L15" s="335"/>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row>
    <row r="16" spans="1:41" s="5" customFormat="1" ht="8.1" customHeight="1" x14ac:dyDescent="0.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row>
    <row r="17" spans="1:41" s="5" customFormat="1" ht="27.95" customHeight="1" x14ac:dyDescent="0.2">
      <c r="C17" s="35" t="s">
        <v>91</v>
      </c>
      <c r="E17" s="343" t="s">
        <v>89</v>
      </c>
      <c r="F17" s="344"/>
      <c r="G17" s="344"/>
      <c r="H17" s="344"/>
      <c r="I17" s="344"/>
      <c r="J17" s="344"/>
      <c r="K17" s="344"/>
      <c r="L17" s="345"/>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row>
    <row r="18" spans="1:41" s="5" customFormat="1" ht="14.1" customHeight="1" x14ac:dyDescent="0.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row>
    <row r="19" spans="1:41" s="5" customFormat="1" ht="14.1" customHeight="1" x14ac:dyDescent="0.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row>
    <row r="20" spans="1:41" s="5" customFormat="1" ht="14.1" customHeight="1" x14ac:dyDescent="0.2">
      <c r="A20" s="3" t="s">
        <v>448</v>
      </c>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2"/>
    </row>
    <row r="21" spans="1:41" s="5" customFormat="1" ht="15" customHeight="1" x14ac:dyDescent="0.2">
      <c r="C21" s="262" t="s">
        <v>366</v>
      </c>
      <c r="E21" s="261" t="s">
        <v>453</v>
      </c>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row>
    <row r="22" spans="1:41" s="5" customFormat="1" ht="9.9499999999999993" customHeight="1" x14ac:dyDescent="0.2">
      <c r="C22" s="262"/>
      <c r="E22" s="261"/>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row>
    <row r="23" spans="1:41" s="5" customFormat="1" ht="15" customHeight="1" x14ac:dyDescent="0.2">
      <c r="C23" s="262" t="s">
        <v>367</v>
      </c>
      <c r="E23" s="261" t="s">
        <v>454</v>
      </c>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row>
    <row r="24" spans="1:41" s="5" customFormat="1" ht="9.9499999999999993" customHeight="1" x14ac:dyDescent="0.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row>
    <row r="25" spans="1:41" s="5" customFormat="1" ht="15" customHeight="1" x14ac:dyDescent="0.2">
      <c r="C25" s="262" t="s">
        <v>383</v>
      </c>
      <c r="E25" s="261" t="s">
        <v>449</v>
      </c>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row>
    <row r="26" spans="1:41" s="5" customFormat="1" ht="9.9499999999999993" customHeight="1" x14ac:dyDescent="0.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row>
    <row r="27" spans="1:41" s="5" customFormat="1" ht="15" customHeight="1" x14ac:dyDescent="0.2">
      <c r="A27" s="33"/>
      <c r="B27" s="4"/>
      <c r="C27" s="85" t="s">
        <v>385</v>
      </c>
      <c r="D27" s="4"/>
      <c r="E27" s="78" t="s">
        <v>450</v>
      </c>
      <c r="F27" s="4"/>
      <c r="G27" s="4"/>
      <c r="H27" s="4"/>
      <c r="I27" s="4"/>
      <c r="J27" s="4"/>
      <c r="K27" s="4"/>
      <c r="L27" s="4"/>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row>
    <row r="28" spans="1:41" s="5" customFormat="1" ht="9.9499999999999993" customHeight="1" x14ac:dyDescent="0.2">
      <c r="A28" s="4"/>
      <c r="B28" s="78"/>
      <c r="C28" s="78"/>
      <c r="D28" s="78"/>
      <c r="E28" s="341"/>
      <c r="F28" s="341"/>
      <c r="G28" s="341"/>
      <c r="H28" s="341"/>
      <c r="I28" s="341"/>
      <c r="J28" s="341"/>
      <c r="K28" s="341"/>
      <c r="L28" s="341"/>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row>
    <row r="29" spans="1:41" s="5" customFormat="1" ht="15" customHeight="1" x14ac:dyDescent="0.2">
      <c r="A29" s="4"/>
      <c r="B29" s="4"/>
      <c r="C29" s="85" t="s">
        <v>368</v>
      </c>
      <c r="D29" s="4"/>
      <c r="E29" s="78" t="s">
        <v>451</v>
      </c>
      <c r="F29" s="34"/>
      <c r="G29" s="34"/>
      <c r="H29" s="34"/>
      <c r="I29" s="34"/>
      <c r="J29" s="34"/>
      <c r="K29" s="34"/>
      <c r="L29" s="34"/>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row>
    <row r="30" spans="1:41" s="5" customFormat="1" ht="9.9499999999999993" customHeight="1" x14ac:dyDescent="0.2">
      <c r="A30" s="4"/>
      <c r="B30" s="195"/>
      <c r="C30" s="74"/>
      <c r="D30" s="4"/>
      <c r="E30" s="342"/>
      <c r="F30" s="342"/>
      <c r="G30" s="342"/>
      <c r="H30" s="342"/>
      <c r="I30" s="342"/>
      <c r="J30" s="342"/>
      <c r="K30" s="342"/>
      <c r="L30" s="34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row>
    <row r="31" spans="1:41" s="5" customFormat="1" ht="15" customHeight="1" x14ac:dyDescent="0.2">
      <c r="A31" s="4"/>
      <c r="B31" s="4"/>
      <c r="C31" s="85" t="s">
        <v>369</v>
      </c>
      <c r="D31" s="4"/>
      <c r="E31" s="78" t="s">
        <v>452</v>
      </c>
      <c r="F31" s="4"/>
      <c r="G31" s="4"/>
      <c r="H31" s="4"/>
      <c r="I31" s="4"/>
      <c r="J31" s="4"/>
      <c r="K31" s="4"/>
      <c r="L31" s="4"/>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row>
    <row r="32" spans="1:41" s="5" customFormat="1" ht="9.9499999999999993" customHeight="1" x14ac:dyDescent="0.2">
      <c r="A32" s="4"/>
      <c r="B32" s="195"/>
      <c r="C32" s="74"/>
      <c r="D32" s="4"/>
      <c r="E32" s="342"/>
      <c r="F32" s="342"/>
      <c r="G32" s="342"/>
      <c r="H32" s="342"/>
      <c r="I32" s="342"/>
      <c r="J32" s="342"/>
      <c r="K32" s="342"/>
      <c r="L32" s="34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row>
    <row r="33" spans="1:41" s="5" customFormat="1" ht="15" customHeight="1" x14ac:dyDescent="0.2">
      <c r="A33" s="4"/>
      <c r="B33" s="4"/>
      <c r="C33" s="4"/>
      <c r="D33" s="4"/>
      <c r="E33" s="4"/>
      <c r="F33" s="4"/>
      <c r="G33" s="4"/>
      <c r="H33" s="4"/>
      <c r="I33" s="4"/>
      <c r="J33" s="4"/>
      <c r="K33" s="4"/>
      <c r="L33" s="4"/>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row>
    <row r="34" spans="1:41" s="5" customFormat="1" ht="39" customHeight="1" x14ac:dyDescent="0.2">
      <c r="A34" s="4"/>
      <c r="B34" s="195"/>
      <c r="C34" s="270"/>
      <c r="D34" s="4"/>
      <c r="E34" s="342"/>
      <c r="F34" s="342"/>
      <c r="G34" s="342"/>
      <c r="H34" s="342"/>
      <c r="I34" s="342"/>
      <c r="J34" s="342"/>
      <c r="K34" s="342"/>
      <c r="L34" s="34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row>
    <row r="35" spans="1:41" s="5" customFormat="1" ht="8.1" customHeight="1" x14ac:dyDescent="0.2">
      <c r="A35" s="4"/>
      <c r="B35" s="4"/>
      <c r="C35" s="4"/>
      <c r="D35" s="4"/>
      <c r="E35" s="4"/>
      <c r="F35" s="4"/>
      <c r="G35" s="4"/>
      <c r="H35" s="4"/>
      <c r="I35" s="4"/>
      <c r="J35" s="4"/>
      <c r="K35" s="4"/>
      <c r="L35" s="4"/>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row>
    <row r="36" spans="1:41" s="5" customFormat="1" ht="14.1" customHeight="1" x14ac:dyDescent="0.2">
      <c r="A36" s="4"/>
      <c r="B36" s="4"/>
      <c r="C36" s="4"/>
      <c r="D36" s="4"/>
      <c r="E36" s="342"/>
      <c r="F36" s="342"/>
      <c r="G36" s="342"/>
      <c r="H36" s="342"/>
      <c r="I36" s="342"/>
      <c r="J36" s="342"/>
      <c r="K36" s="342"/>
      <c r="L36" s="34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row>
    <row r="37" spans="1:41" s="5" customFormat="1" ht="8.1" customHeight="1" x14ac:dyDescent="0.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row>
    <row r="38" spans="1:41" s="5" customFormat="1" ht="14.1" customHeight="1" x14ac:dyDescent="0.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row>
    <row r="39" spans="1:41" s="5" customFormat="1" ht="14.1" customHeight="1" x14ac:dyDescent="0.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row>
    <row r="40" spans="1:41" s="5" customFormat="1" ht="14.1" customHeight="1" x14ac:dyDescent="0.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2"/>
    </row>
    <row r="41" spans="1:41" s="5" customFormat="1" ht="14.1" customHeight="1" x14ac:dyDescent="0.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2"/>
    </row>
    <row r="42" spans="1:41" s="5" customFormat="1" ht="14.1" customHeight="1" x14ac:dyDescent="0.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2"/>
    </row>
    <row r="43" spans="1:41" s="5" customFormat="1" ht="14.1" customHeight="1" x14ac:dyDescent="0.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row>
    <row r="44" spans="1:41" s="5" customFormat="1" ht="14.1" customHeight="1" x14ac:dyDescent="0.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row>
    <row r="45" spans="1:41" s="5" customFormat="1" ht="14.1" customHeight="1" x14ac:dyDescent="0.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row>
    <row r="46" spans="1:41" s="5" customFormat="1" ht="14.1" customHeight="1" x14ac:dyDescent="0.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row>
    <row r="47" spans="1:41" s="5" customFormat="1" ht="14.1" customHeight="1" x14ac:dyDescent="0.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row>
    <row r="48" spans="1:41" s="5" customFormat="1" ht="14.1" customHeight="1" x14ac:dyDescent="0.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row>
    <row r="49" spans="1:41" s="5" customFormat="1" ht="14.1" customHeight="1" x14ac:dyDescent="0.2">
      <c r="A49" s="194" t="s">
        <v>455</v>
      </c>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row>
    <row r="50" spans="1:41" s="5" customFormat="1" ht="135" customHeight="1" x14ac:dyDescent="0.2">
      <c r="B50" s="332" t="s">
        <v>456</v>
      </c>
      <c r="C50" s="332"/>
      <c r="D50" s="332"/>
      <c r="E50" s="332"/>
      <c r="F50" s="332"/>
      <c r="G50" s="332"/>
      <c r="H50" s="332"/>
      <c r="I50" s="332"/>
      <c r="J50" s="332"/>
      <c r="K50" s="332"/>
      <c r="L50" s="33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row>
    <row r="51" spans="1:41" s="5" customFormat="1" ht="14.1" customHeight="1" x14ac:dyDescent="0.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row>
    <row r="52" spans="1:41" s="272" customFormat="1" ht="14.1" customHeight="1" x14ac:dyDescent="0.2"/>
    <row r="53" spans="1:41" s="272" customFormat="1" ht="14.1" customHeight="1" x14ac:dyDescent="0.2"/>
    <row r="54" spans="1:41" s="272" customFormat="1" ht="14.1" customHeight="1" x14ac:dyDescent="0.2"/>
    <row r="55" spans="1:41" s="272" customFormat="1" ht="14.1" customHeight="1" x14ac:dyDescent="0.2"/>
    <row r="56" spans="1:41" s="272" customFormat="1" ht="14.1" customHeight="1" x14ac:dyDescent="0.2"/>
    <row r="57" spans="1:41" s="272" customFormat="1" ht="14.1" customHeight="1" x14ac:dyDescent="0.2"/>
    <row r="58" spans="1:41" s="272" customFormat="1" ht="14.1" customHeight="1" x14ac:dyDescent="0.2"/>
    <row r="59" spans="1:41" s="272" customFormat="1" ht="14.1" customHeight="1" x14ac:dyDescent="0.2"/>
    <row r="60" spans="1:41" s="272" customFormat="1" ht="14.1" customHeight="1" x14ac:dyDescent="0.2"/>
    <row r="61" spans="1:41" s="272" customFormat="1" x14ac:dyDescent="0.2"/>
    <row r="62" spans="1:41" s="271" customFormat="1" x14ac:dyDescent="0.2">
      <c r="C62" s="272"/>
      <c r="D62" s="272"/>
      <c r="E62" s="272"/>
      <c r="F62" s="272"/>
      <c r="G62" s="272"/>
      <c r="H62" s="272"/>
      <c r="I62" s="272"/>
      <c r="J62" s="272"/>
      <c r="K62" s="272"/>
      <c r="L62" s="272"/>
    </row>
    <row r="63" spans="1:41" s="271" customFormat="1" x14ac:dyDescent="0.2"/>
    <row r="64" spans="1:41" s="271" customFormat="1" x14ac:dyDescent="0.2"/>
    <row r="65" s="271" customFormat="1" x14ac:dyDescent="0.2"/>
    <row r="66" s="271" customFormat="1" x14ac:dyDescent="0.2"/>
    <row r="67" s="271" customFormat="1" x14ac:dyDescent="0.2"/>
    <row r="68" s="271" customFormat="1" x14ac:dyDescent="0.2"/>
    <row r="69" s="271" customFormat="1" x14ac:dyDescent="0.2"/>
    <row r="70" s="271" customFormat="1" x14ac:dyDescent="0.2"/>
    <row r="71" s="271" customFormat="1" x14ac:dyDescent="0.2"/>
    <row r="72" s="271" customFormat="1" x14ac:dyDescent="0.2"/>
    <row r="73" s="271" customFormat="1" x14ac:dyDescent="0.2"/>
    <row r="74" s="271" customFormat="1" x14ac:dyDescent="0.2"/>
    <row r="75" s="271" customFormat="1" x14ac:dyDescent="0.2"/>
    <row r="76" s="271" customFormat="1" x14ac:dyDescent="0.2"/>
    <row r="77" s="271" customFormat="1" x14ac:dyDescent="0.2"/>
    <row r="78" s="271" customFormat="1" x14ac:dyDescent="0.2"/>
    <row r="79" s="271" customFormat="1" x14ac:dyDescent="0.2"/>
  </sheetData>
  <sheetProtection password="EFEE" sheet="1" objects="1" scenarios="1" formatRows="0"/>
  <mergeCells count="15">
    <mergeCell ref="B50:L50"/>
    <mergeCell ref="E9:L9"/>
    <mergeCell ref="E11:L11"/>
    <mergeCell ref="K1:L1"/>
    <mergeCell ref="K2:L2"/>
    <mergeCell ref="A3:L3"/>
    <mergeCell ref="A4:L4"/>
    <mergeCell ref="E28:L28"/>
    <mergeCell ref="E32:L32"/>
    <mergeCell ref="E15:L15"/>
    <mergeCell ref="E36:L36"/>
    <mergeCell ref="E30:L30"/>
    <mergeCell ref="E17:L17"/>
    <mergeCell ref="E13:L13"/>
    <mergeCell ref="E34:L34"/>
  </mergeCells>
  <phoneticPr fontId="1" type="noConversion"/>
  <pageMargins left="0.7" right="0.7" top="0.75" bottom="0.75" header="0.3" footer="0.3"/>
  <pageSetup paperSize="9" scale="85" orientation="portrait" horizontalDpi="300" verticalDpi="300" r:id="rId1"/>
  <headerFooter alignWithMargins="0">
    <oddFooter>&amp;L&amp;F - &amp;A&amp;R&amp;P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U150"/>
  <sheetViews>
    <sheetView showGridLines="0" tabSelected="1" zoomScale="85" zoomScaleNormal="85" zoomScaleSheetLayoutView="100" workbookViewId="0"/>
  </sheetViews>
  <sheetFormatPr baseColWidth="10" defaultRowHeight="12.75" x14ac:dyDescent="0.2"/>
  <cols>
    <col min="1" max="1" width="8.7109375" customWidth="1"/>
    <col min="2" max="2" width="7.140625" customWidth="1"/>
    <col min="3" max="4" width="4.7109375" customWidth="1"/>
    <col min="5" max="5" width="5.7109375" customWidth="1"/>
    <col min="6" max="6" width="1.7109375" customWidth="1"/>
    <col min="7" max="7" width="9.140625" customWidth="1"/>
    <col min="8" max="8" width="1.7109375" customWidth="1"/>
    <col min="9" max="9" width="8.7109375" customWidth="1"/>
    <col min="10" max="10" width="1.7109375" customWidth="1"/>
    <col min="11" max="11" width="7.7109375" customWidth="1"/>
    <col min="12" max="12" width="6.7109375" customWidth="1"/>
    <col min="13" max="13" width="1.7109375" customWidth="1"/>
    <col min="14" max="15" width="9.7109375" customWidth="1"/>
    <col min="16" max="16" width="4.85546875" customWidth="1"/>
    <col min="17" max="17" width="14.7109375" customWidth="1"/>
    <col min="18" max="18" width="1.7109375" customWidth="1"/>
    <col min="19" max="19" width="6.7109375" customWidth="1"/>
    <col min="21" max="21" width="11.42578125" hidden="1" customWidth="1"/>
    <col min="22" max="22" width="15.28515625" hidden="1" customWidth="1"/>
    <col min="23" max="23" width="17.140625" hidden="1" customWidth="1"/>
    <col min="24" max="24" width="16.42578125" hidden="1" customWidth="1"/>
    <col min="25" max="25" width="16.85546875" hidden="1" customWidth="1"/>
    <col min="26" max="26" width="12.28515625" hidden="1" customWidth="1"/>
    <col min="27" max="27" width="19.85546875" hidden="1" customWidth="1"/>
    <col min="28" max="28" width="11.42578125" hidden="1" customWidth="1"/>
    <col min="29" max="29" width="15.140625" hidden="1" customWidth="1"/>
    <col min="30" max="30" width="15" hidden="1" customWidth="1"/>
    <col min="31" max="31" width="13.7109375" hidden="1" customWidth="1"/>
    <col min="32" max="32" width="14.85546875" hidden="1" customWidth="1"/>
    <col min="33" max="33" width="13.42578125" hidden="1" customWidth="1"/>
    <col min="34" max="34" width="15.85546875" hidden="1" customWidth="1"/>
    <col min="35" max="35" width="10.5703125" hidden="1" customWidth="1"/>
    <col min="36" max="36" width="13.140625" hidden="1" customWidth="1"/>
    <col min="37" max="37" width="11.42578125" hidden="1" customWidth="1"/>
    <col min="38" max="40" width="13.42578125" hidden="1" customWidth="1"/>
    <col min="41" max="47" width="11.42578125" hidden="1" customWidth="1"/>
  </cols>
  <sheetData>
    <row r="1" spans="1:19" ht="15.75" customHeight="1" x14ac:dyDescent="0.2">
      <c r="O1" s="1" t="s">
        <v>16</v>
      </c>
      <c r="Q1" s="388" t="str">
        <f>Erklärung!K1</f>
        <v>1.1</v>
      </c>
      <c r="R1" s="388"/>
      <c r="S1" s="388"/>
    </row>
    <row r="2" spans="1:19" x14ac:dyDescent="0.2">
      <c r="O2" s="1" t="s">
        <v>90</v>
      </c>
      <c r="Q2" s="389">
        <f>Erklärung!K2</f>
        <v>41812</v>
      </c>
      <c r="R2" s="389"/>
      <c r="S2" s="389"/>
    </row>
    <row r="3" spans="1:19" ht="23.25" x14ac:dyDescent="0.35">
      <c r="A3" s="339" t="s">
        <v>388</v>
      </c>
      <c r="B3" s="339"/>
      <c r="C3" s="339"/>
      <c r="D3" s="339"/>
      <c r="E3" s="339"/>
      <c r="F3" s="339"/>
      <c r="G3" s="339"/>
      <c r="H3" s="339"/>
      <c r="I3" s="339"/>
      <c r="J3" s="339"/>
      <c r="K3" s="339"/>
      <c r="L3" s="339"/>
      <c r="M3" s="339"/>
      <c r="N3" s="339"/>
      <c r="O3" s="339"/>
      <c r="P3" s="339"/>
      <c r="Q3" s="339"/>
      <c r="R3" s="339"/>
      <c r="S3" s="339"/>
    </row>
    <row r="4" spans="1:19" ht="18" customHeight="1" x14ac:dyDescent="0.25">
      <c r="A4" s="340" t="s">
        <v>0</v>
      </c>
      <c r="B4" s="340"/>
      <c r="C4" s="340"/>
      <c r="D4" s="340"/>
      <c r="E4" s="340"/>
      <c r="F4" s="340"/>
      <c r="G4" s="340"/>
      <c r="H4" s="340"/>
      <c r="I4" s="340"/>
      <c r="J4" s="340"/>
      <c r="K4" s="340"/>
      <c r="L4" s="340"/>
      <c r="M4" s="340"/>
      <c r="N4" s="340"/>
      <c r="O4" s="340"/>
      <c r="P4" s="340"/>
      <c r="Q4" s="340"/>
      <c r="R4" s="340"/>
      <c r="S4" s="340"/>
    </row>
    <row r="5" spans="1:19" ht="15" customHeight="1" x14ac:dyDescent="0.2"/>
    <row r="6" spans="1:19" s="5" customFormat="1" ht="18" customHeight="1" x14ac:dyDescent="0.2">
      <c r="A6" s="6" t="s">
        <v>1</v>
      </c>
      <c r="B6" s="6"/>
      <c r="C6" s="6"/>
      <c r="D6" s="6"/>
      <c r="E6" s="6"/>
      <c r="F6" s="6"/>
      <c r="G6" s="6"/>
      <c r="H6" s="6"/>
    </row>
    <row r="7" spans="1:19" s="5" customFormat="1" ht="8.1" customHeight="1" x14ac:dyDescent="0.2"/>
    <row r="8" spans="1:19" s="5" customFormat="1" ht="15" customHeight="1" x14ac:dyDescent="0.2">
      <c r="A8" s="44" t="s">
        <v>92</v>
      </c>
      <c r="B8" s="11"/>
      <c r="C8" s="421" t="s">
        <v>13</v>
      </c>
      <c r="D8" s="422"/>
      <c r="E8" s="422"/>
      <c r="F8" s="422"/>
      <c r="G8" s="423"/>
      <c r="H8" s="11"/>
      <c r="I8" s="418"/>
      <c r="J8" s="419"/>
      <c r="K8" s="419"/>
      <c r="L8" s="419"/>
      <c r="M8" s="419"/>
      <c r="N8" s="419"/>
      <c r="O8" s="419"/>
      <c r="P8" s="419"/>
      <c r="Q8" s="419"/>
      <c r="R8" s="419"/>
      <c r="S8" s="420"/>
    </row>
    <row r="9" spans="1:19" s="5" customFormat="1" ht="15" customHeight="1" x14ac:dyDescent="0.2">
      <c r="A9" s="9"/>
      <c r="B9" s="4"/>
      <c r="C9" s="408" t="s">
        <v>14</v>
      </c>
      <c r="D9" s="424"/>
      <c r="E9" s="424"/>
      <c r="F9" s="424"/>
      <c r="G9" s="409"/>
      <c r="H9" s="4"/>
      <c r="I9" s="396"/>
      <c r="J9" s="397"/>
      <c r="K9" s="397"/>
      <c r="L9" s="397"/>
      <c r="M9" s="397"/>
      <c r="N9" s="397"/>
      <c r="O9" s="397"/>
      <c r="P9" s="397"/>
      <c r="Q9" s="397"/>
      <c r="R9" s="397"/>
      <c r="S9" s="398"/>
    </row>
    <row r="10" spans="1:19" s="5" customFormat="1" ht="15" customHeight="1" x14ac:dyDescent="0.2">
      <c r="A10" s="9"/>
      <c r="B10" s="4"/>
      <c r="C10" s="408" t="s">
        <v>15</v>
      </c>
      <c r="D10" s="424"/>
      <c r="E10" s="424"/>
      <c r="F10" s="424"/>
      <c r="G10" s="409"/>
      <c r="H10" s="4"/>
      <c r="I10" s="417"/>
      <c r="J10" s="397"/>
      <c r="K10" s="397"/>
      <c r="L10" s="397"/>
      <c r="M10" s="397"/>
      <c r="N10" s="397"/>
      <c r="O10" s="397"/>
      <c r="P10" s="397"/>
      <c r="Q10" s="397"/>
      <c r="R10" s="397"/>
      <c r="S10" s="398"/>
    </row>
    <row r="11" spans="1:19" s="5" customFormat="1" ht="8.1" customHeight="1" x14ac:dyDescent="0.2">
      <c r="A11" s="9"/>
      <c r="B11" s="4"/>
      <c r="C11" s="4"/>
      <c r="D11" s="4"/>
      <c r="E11" s="4"/>
      <c r="F11" s="4"/>
      <c r="G11" s="4"/>
      <c r="H11" s="4"/>
      <c r="I11" s="4"/>
      <c r="J11" s="4"/>
      <c r="K11" s="4"/>
      <c r="L11" s="4"/>
      <c r="M11" s="4"/>
      <c r="N11" s="4"/>
      <c r="O11" s="4"/>
      <c r="P11" s="4"/>
      <c r="Q11" s="4"/>
      <c r="R11" s="4"/>
      <c r="S11" s="15"/>
    </row>
    <row r="12" spans="1:19" s="5" customFormat="1" ht="15" customHeight="1" x14ac:dyDescent="0.2">
      <c r="A12" s="37" t="s">
        <v>2</v>
      </c>
      <c r="B12" s="4"/>
      <c r="C12" s="408" t="s">
        <v>10</v>
      </c>
      <c r="D12" s="424"/>
      <c r="E12" s="424"/>
      <c r="F12" s="424"/>
      <c r="G12" s="409"/>
      <c r="H12" s="39"/>
      <c r="I12" s="396"/>
      <c r="J12" s="397"/>
      <c r="K12" s="397"/>
      <c r="L12" s="397"/>
      <c r="M12" s="397"/>
      <c r="N12" s="397"/>
      <c r="O12" s="397"/>
      <c r="P12" s="397"/>
      <c r="Q12" s="397"/>
      <c r="R12" s="397"/>
      <c r="S12" s="398"/>
    </row>
    <row r="13" spans="1:19" s="5" customFormat="1" ht="15" customHeight="1" x14ac:dyDescent="0.2">
      <c r="A13" s="9"/>
      <c r="B13" s="4"/>
      <c r="C13" s="408" t="s">
        <v>3</v>
      </c>
      <c r="D13" s="424"/>
      <c r="E13" s="424"/>
      <c r="F13" s="424"/>
      <c r="G13" s="409"/>
      <c r="H13" s="4"/>
      <c r="I13" s="396"/>
      <c r="J13" s="397"/>
      <c r="K13" s="397"/>
      <c r="L13" s="397"/>
      <c r="M13" s="397"/>
      <c r="N13" s="397"/>
      <c r="O13" s="397"/>
      <c r="P13" s="397"/>
      <c r="Q13" s="397"/>
      <c r="R13" s="397"/>
      <c r="S13" s="398"/>
    </row>
    <row r="14" spans="1:19" s="5" customFormat="1" ht="15" customHeight="1" x14ac:dyDescent="0.2">
      <c r="A14" s="9"/>
      <c r="B14" s="4"/>
      <c r="C14" s="408" t="s">
        <v>4</v>
      </c>
      <c r="D14" s="424"/>
      <c r="E14" s="424"/>
      <c r="F14" s="424"/>
      <c r="G14" s="409"/>
      <c r="H14" s="4"/>
      <c r="I14" s="396"/>
      <c r="J14" s="397"/>
      <c r="K14" s="397"/>
      <c r="L14" s="397"/>
      <c r="M14" s="397"/>
      <c r="N14" s="397"/>
      <c r="O14" s="397"/>
      <c r="P14" s="397"/>
      <c r="Q14" s="397"/>
      <c r="R14" s="397"/>
      <c r="S14" s="398"/>
    </row>
    <row r="15" spans="1:19" s="5" customFormat="1" ht="15" customHeight="1" x14ac:dyDescent="0.2">
      <c r="A15" s="9"/>
      <c r="B15" s="4"/>
      <c r="C15" s="408" t="s">
        <v>5</v>
      </c>
      <c r="D15" s="424"/>
      <c r="E15" s="424"/>
      <c r="F15" s="424"/>
      <c r="G15" s="409"/>
      <c r="H15" s="4"/>
      <c r="I15" s="396"/>
      <c r="J15" s="397"/>
      <c r="K15" s="397"/>
      <c r="L15" s="397"/>
      <c r="M15" s="397"/>
      <c r="N15" s="397"/>
      <c r="O15" s="397"/>
      <c r="P15" s="397"/>
      <c r="Q15" s="397"/>
      <c r="R15" s="397"/>
      <c r="S15" s="398"/>
    </row>
    <row r="16" spans="1:19" s="5" customFormat="1" ht="15" customHeight="1" x14ac:dyDescent="0.2">
      <c r="A16" s="9"/>
      <c r="B16" s="4"/>
      <c r="C16" s="433" t="s">
        <v>12</v>
      </c>
      <c r="D16" s="424"/>
      <c r="E16" s="424"/>
      <c r="F16" s="424"/>
      <c r="G16" s="409"/>
      <c r="H16" s="4"/>
      <c r="I16" s="396"/>
      <c r="J16" s="397"/>
      <c r="K16" s="397"/>
      <c r="L16" s="397"/>
      <c r="M16" s="397"/>
      <c r="N16" s="397"/>
      <c r="O16" s="397"/>
      <c r="P16" s="397"/>
      <c r="Q16" s="397"/>
      <c r="R16" s="397"/>
      <c r="S16" s="398"/>
    </row>
    <row r="17" spans="1:34" s="5" customFormat="1" ht="15" customHeight="1" x14ac:dyDescent="0.2">
      <c r="A17" s="9"/>
      <c r="B17" s="4"/>
      <c r="C17" s="408" t="s">
        <v>6</v>
      </c>
      <c r="D17" s="424"/>
      <c r="E17" s="424"/>
      <c r="F17" s="424"/>
      <c r="G17" s="409"/>
      <c r="H17" s="4"/>
      <c r="I17" s="396"/>
      <c r="J17" s="397"/>
      <c r="K17" s="397"/>
      <c r="L17" s="397"/>
      <c r="M17" s="397"/>
      <c r="N17" s="397"/>
      <c r="O17" s="397"/>
      <c r="P17" s="397"/>
      <c r="Q17" s="397"/>
      <c r="R17" s="397"/>
      <c r="S17" s="398"/>
    </row>
    <row r="18" spans="1:34" s="5" customFormat="1" ht="15" customHeight="1" x14ac:dyDescent="0.2">
      <c r="A18" s="9"/>
      <c r="B18" s="4"/>
      <c r="C18" s="408" t="s">
        <v>7</v>
      </c>
      <c r="D18" s="424"/>
      <c r="E18" s="424"/>
      <c r="F18" s="424"/>
      <c r="G18" s="409"/>
      <c r="H18" s="4"/>
      <c r="I18" s="396"/>
      <c r="J18" s="397"/>
      <c r="K18" s="397"/>
      <c r="L18" s="397"/>
      <c r="M18" s="397"/>
      <c r="N18" s="397"/>
      <c r="O18" s="397"/>
      <c r="P18" s="397"/>
      <c r="Q18" s="397"/>
      <c r="R18" s="397"/>
      <c r="S18" s="398"/>
    </row>
    <row r="19" spans="1:34" s="5" customFormat="1" ht="15" customHeight="1" x14ac:dyDescent="0.2">
      <c r="A19" s="9"/>
      <c r="B19" s="4"/>
      <c r="C19" s="408" t="s">
        <v>8</v>
      </c>
      <c r="D19" s="424"/>
      <c r="E19" s="424"/>
      <c r="F19" s="424"/>
      <c r="G19" s="409"/>
      <c r="H19" s="4"/>
      <c r="I19" s="396"/>
      <c r="J19" s="397"/>
      <c r="K19" s="397"/>
      <c r="L19" s="397"/>
      <c r="M19" s="397"/>
      <c r="N19" s="397"/>
      <c r="O19" s="397"/>
      <c r="P19" s="397"/>
      <c r="Q19" s="397"/>
      <c r="R19" s="397"/>
      <c r="S19" s="398"/>
    </row>
    <row r="20" spans="1:34" s="5" customFormat="1" ht="8.1" customHeight="1" x14ac:dyDescent="0.2">
      <c r="A20" s="9"/>
      <c r="B20" s="4"/>
      <c r="C20" s="4"/>
      <c r="D20" s="4"/>
      <c r="E20" s="4"/>
      <c r="F20" s="4"/>
      <c r="G20" s="4"/>
      <c r="H20" s="4"/>
      <c r="I20" s="4"/>
      <c r="J20" s="4"/>
      <c r="K20" s="4"/>
      <c r="L20" s="4"/>
      <c r="M20" s="4"/>
      <c r="N20" s="4"/>
      <c r="O20" s="4"/>
      <c r="P20" s="4"/>
      <c r="Q20" s="4"/>
      <c r="R20" s="4"/>
      <c r="S20" s="15"/>
    </row>
    <row r="21" spans="1:34" s="5" customFormat="1" ht="15" customHeight="1" x14ac:dyDescent="0.2">
      <c r="A21" s="37" t="s">
        <v>9</v>
      </c>
      <c r="B21" s="4"/>
      <c r="C21" s="408" t="s">
        <v>11</v>
      </c>
      <c r="D21" s="424"/>
      <c r="E21" s="424"/>
      <c r="F21" s="424"/>
      <c r="G21" s="409"/>
      <c r="H21" s="4"/>
      <c r="I21" s="396"/>
      <c r="J21" s="397"/>
      <c r="K21" s="397"/>
      <c r="L21" s="397"/>
      <c r="M21" s="397"/>
      <c r="N21" s="397"/>
      <c r="O21" s="397"/>
      <c r="P21" s="397"/>
      <c r="Q21" s="397"/>
      <c r="R21" s="397"/>
      <c r="S21" s="398"/>
    </row>
    <row r="22" spans="1:34" s="5" customFormat="1" ht="15" customHeight="1" x14ac:dyDescent="0.2">
      <c r="A22" s="9"/>
      <c r="B22" s="4"/>
      <c r="C22" s="408" t="s">
        <v>3</v>
      </c>
      <c r="D22" s="424"/>
      <c r="E22" s="424"/>
      <c r="F22" s="424"/>
      <c r="G22" s="409"/>
      <c r="H22" s="4"/>
      <c r="I22" s="396"/>
      <c r="J22" s="397"/>
      <c r="K22" s="397"/>
      <c r="L22" s="397"/>
      <c r="M22" s="397"/>
      <c r="N22" s="397"/>
      <c r="O22" s="397"/>
      <c r="P22" s="397"/>
      <c r="Q22" s="397"/>
      <c r="R22" s="397"/>
      <c r="S22" s="398"/>
    </row>
    <row r="23" spans="1:34" s="5" customFormat="1" ht="15" customHeight="1" x14ac:dyDescent="0.2">
      <c r="A23" s="9"/>
      <c r="B23" s="4"/>
      <c r="C23" s="408" t="s">
        <v>4</v>
      </c>
      <c r="D23" s="424"/>
      <c r="E23" s="424"/>
      <c r="F23" s="424"/>
      <c r="G23" s="409"/>
      <c r="H23" s="4"/>
      <c r="I23" s="396"/>
      <c r="J23" s="397"/>
      <c r="K23" s="397"/>
      <c r="L23" s="397"/>
      <c r="M23" s="397"/>
      <c r="N23" s="397"/>
      <c r="O23" s="397"/>
      <c r="P23" s="397"/>
      <c r="Q23" s="397"/>
      <c r="R23" s="397"/>
      <c r="S23" s="398"/>
    </row>
    <row r="24" spans="1:34" s="5" customFormat="1" ht="15" customHeight="1" x14ac:dyDescent="0.2">
      <c r="A24" s="9"/>
      <c r="B24" s="4"/>
      <c r="C24" s="408" t="s">
        <v>5</v>
      </c>
      <c r="D24" s="424"/>
      <c r="E24" s="424"/>
      <c r="F24" s="424"/>
      <c r="G24" s="409"/>
      <c r="H24" s="4"/>
      <c r="I24" s="396"/>
      <c r="J24" s="397"/>
      <c r="K24" s="397"/>
      <c r="L24" s="397"/>
      <c r="M24" s="397"/>
      <c r="N24" s="397"/>
      <c r="O24" s="397"/>
      <c r="P24" s="397"/>
      <c r="Q24" s="397"/>
      <c r="R24" s="397"/>
      <c r="S24" s="398"/>
      <c r="V24" s="29"/>
    </row>
    <row r="25" spans="1:34" s="5" customFormat="1" ht="15" customHeight="1" x14ac:dyDescent="0.2">
      <c r="A25" s="9"/>
      <c r="B25" s="4"/>
      <c r="C25" s="408" t="s">
        <v>12</v>
      </c>
      <c r="D25" s="424"/>
      <c r="E25" s="424"/>
      <c r="F25" s="424"/>
      <c r="G25" s="409"/>
      <c r="H25" s="4"/>
      <c r="I25" s="396"/>
      <c r="J25" s="397"/>
      <c r="K25" s="397"/>
      <c r="L25" s="397"/>
      <c r="M25" s="397"/>
      <c r="N25" s="397"/>
      <c r="O25" s="397"/>
      <c r="P25" s="397"/>
      <c r="Q25" s="397"/>
      <c r="R25" s="397"/>
      <c r="S25" s="398"/>
    </row>
    <row r="26" spans="1:34" s="5" customFormat="1" ht="15" customHeight="1" x14ac:dyDescent="0.2">
      <c r="A26" s="9"/>
      <c r="B26" s="4"/>
      <c r="C26" s="408" t="s">
        <v>6</v>
      </c>
      <c r="D26" s="424"/>
      <c r="E26" s="424"/>
      <c r="F26" s="424"/>
      <c r="G26" s="409"/>
      <c r="H26" s="4"/>
      <c r="I26" s="396"/>
      <c r="J26" s="397"/>
      <c r="K26" s="397"/>
      <c r="L26" s="397"/>
      <c r="M26" s="397"/>
      <c r="N26" s="397"/>
      <c r="O26" s="397"/>
      <c r="P26" s="397"/>
      <c r="Q26" s="397"/>
      <c r="R26" s="397"/>
      <c r="S26" s="398"/>
    </row>
    <row r="27" spans="1:34" s="5" customFormat="1" ht="15" customHeight="1" x14ac:dyDescent="0.2">
      <c r="A27" s="9"/>
      <c r="B27" s="4"/>
      <c r="C27" s="408" t="s">
        <v>7</v>
      </c>
      <c r="D27" s="424"/>
      <c r="E27" s="424"/>
      <c r="F27" s="424"/>
      <c r="G27" s="409"/>
      <c r="H27" s="4"/>
      <c r="I27" s="396"/>
      <c r="J27" s="397"/>
      <c r="K27" s="397"/>
      <c r="L27" s="397"/>
      <c r="M27" s="397"/>
      <c r="N27" s="397"/>
      <c r="O27" s="397"/>
      <c r="P27" s="397"/>
      <c r="Q27" s="397"/>
      <c r="R27" s="397"/>
      <c r="S27" s="398"/>
    </row>
    <row r="28" spans="1:34" s="5" customFormat="1" ht="15" customHeight="1" x14ac:dyDescent="0.2">
      <c r="A28" s="16"/>
      <c r="B28" s="17"/>
      <c r="C28" s="442" t="s">
        <v>8</v>
      </c>
      <c r="D28" s="443"/>
      <c r="E28" s="443"/>
      <c r="F28" s="443"/>
      <c r="G28" s="444"/>
      <c r="H28" s="17"/>
      <c r="I28" s="425"/>
      <c r="J28" s="426"/>
      <c r="K28" s="426"/>
      <c r="L28" s="426"/>
      <c r="M28" s="426"/>
      <c r="N28" s="426"/>
      <c r="O28" s="426"/>
      <c r="P28" s="426"/>
      <c r="Q28" s="426"/>
      <c r="R28" s="426"/>
      <c r="S28" s="427"/>
    </row>
    <row r="29" spans="1:34" s="5" customFormat="1" ht="15" customHeight="1" x14ac:dyDescent="0.2"/>
    <row r="30" spans="1:34" s="5" customFormat="1" ht="13.5" thickBot="1" x14ac:dyDescent="0.25"/>
    <row r="31" spans="1:34" s="5" customFormat="1" ht="18" x14ac:dyDescent="0.2">
      <c r="A31" s="6" t="s">
        <v>17</v>
      </c>
      <c r="V31" s="134" t="s">
        <v>48</v>
      </c>
      <c r="W31" s="144"/>
      <c r="X31" s="135"/>
      <c r="Y31" s="135"/>
      <c r="Z31" s="136"/>
      <c r="AD31" s="134" t="s">
        <v>34</v>
      </c>
      <c r="AE31" s="135"/>
      <c r="AF31" s="135"/>
      <c r="AG31" s="135"/>
      <c r="AH31" s="136"/>
    </row>
    <row r="32" spans="1:34" s="5" customFormat="1" ht="8.1" customHeight="1" x14ac:dyDescent="0.2">
      <c r="A32" s="6"/>
      <c r="V32" s="139"/>
      <c r="W32" s="4"/>
      <c r="X32" s="4"/>
      <c r="Y32" s="4"/>
      <c r="Z32" s="138"/>
      <c r="AD32" s="139"/>
      <c r="AE32" s="4"/>
      <c r="AF32" s="4"/>
      <c r="AG32" s="4"/>
      <c r="AH32" s="138"/>
    </row>
    <row r="33" spans="1:34" s="5" customFormat="1" ht="18" customHeight="1" x14ac:dyDescent="0.2">
      <c r="A33" s="197"/>
      <c r="B33" s="198"/>
      <c r="C33" s="477" t="s">
        <v>420</v>
      </c>
      <c r="D33" s="478"/>
      <c r="E33" s="478"/>
      <c r="F33" s="478"/>
      <c r="G33" s="478"/>
      <c r="H33" s="478"/>
      <c r="I33" s="478"/>
      <c r="J33" s="478"/>
      <c r="K33" s="478"/>
      <c r="L33" s="479"/>
      <c r="M33" s="11"/>
      <c r="N33" s="466"/>
      <c r="O33" s="467"/>
      <c r="P33" s="467"/>
      <c r="Q33" s="467"/>
      <c r="R33" s="467"/>
      <c r="S33" s="468"/>
      <c r="V33" s="139"/>
      <c r="W33" s="4" t="s">
        <v>68</v>
      </c>
      <c r="X33" s="4" t="s">
        <v>69</v>
      </c>
      <c r="Y33" s="4"/>
      <c r="Z33" s="138"/>
      <c r="AD33" s="139"/>
      <c r="AE33" s="4"/>
      <c r="AF33" s="4"/>
      <c r="AG33" s="4"/>
      <c r="AH33" s="138"/>
    </row>
    <row r="34" spans="1:34" s="5" customFormat="1" ht="15" customHeight="1" x14ac:dyDescent="0.2">
      <c r="A34" s="196"/>
      <c r="B34" s="4"/>
      <c r="C34" s="4"/>
      <c r="D34" s="4"/>
      <c r="E34" s="4"/>
      <c r="F34" s="4"/>
      <c r="G34" s="4"/>
      <c r="H34" s="4"/>
      <c r="I34" s="4"/>
      <c r="J34" s="4"/>
      <c r="K34" s="4"/>
      <c r="L34" s="4"/>
      <c r="M34" s="4"/>
      <c r="N34" s="4"/>
      <c r="O34" s="4"/>
      <c r="P34" s="4"/>
      <c r="Q34" s="4"/>
      <c r="R34" s="4"/>
      <c r="S34" s="15"/>
      <c r="V34" s="139"/>
      <c r="W34" s="4"/>
      <c r="X34" s="4"/>
      <c r="Y34" s="4"/>
      <c r="Z34" s="138"/>
      <c r="AD34" s="156"/>
      <c r="AE34" s="24" t="s">
        <v>50</v>
      </c>
      <c r="AF34" s="24" t="s">
        <v>51</v>
      </c>
      <c r="AG34" s="4"/>
      <c r="AH34" s="138"/>
    </row>
    <row r="35" spans="1:34" s="5" customFormat="1" ht="15" customHeight="1" x14ac:dyDescent="0.2">
      <c r="A35" s="37" t="s">
        <v>18</v>
      </c>
      <c r="B35" s="4"/>
      <c r="C35" s="408" t="s">
        <v>19</v>
      </c>
      <c r="D35" s="424"/>
      <c r="E35" s="424"/>
      <c r="F35" s="424"/>
      <c r="G35" s="409"/>
      <c r="H35" s="2"/>
      <c r="I35" s="411"/>
      <c r="J35" s="428"/>
      <c r="K35" s="428"/>
      <c r="L35" s="429"/>
      <c r="M35" s="7"/>
      <c r="N35" s="408" t="s">
        <v>21</v>
      </c>
      <c r="O35" s="409"/>
      <c r="P35" s="4"/>
      <c r="Q35" s="431"/>
      <c r="R35" s="432"/>
      <c r="S35" s="38" t="s">
        <v>37</v>
      </c>
      <c r="V35" s="139"/>
      <c r="W35" s="4" t="s">
        <v>40</v>
      </c>
      <c r="X35" s="4" t="s">
        <v>41</v>
      </c>
      <c r="Y35" s="4"/>
      <c r="Z35" s="138"/>
      <c r="AD35" s="156" t="s">
        <v>49</v>
      </c>
      <c r="AE35" s="24">
        <v>0.3</v>
      </c>
      <c r="AF35" s="24">
        <v>0.4</v>
      </c>
      <c r="AG35" s="4"/>
      <c r="AH35" s="138"/>
    </row>
    <row r="36" spans="1:34" s="5" customFormat="1" ht="15" customHeight="1" x14ac:dyDescent="0.2">
      <c r="A36" s="9"/>
      <c r="B36" s="4"/>
      <c r="C36" s="408" t="s">
        <v>23</v>
      </c>
      <c r="D36" s="424"/>
      <c r="E36" s="424"/>
      <c r="F36" s="424"/>
      <c r="G36" s="409"/>
      <c r="H36" s="2"/>
      <c r="I36" s="430"/>
      <c r="J36" s="430"/>
      <c r="K36" s="430"/>
      <c r="L36" s="28" t="s">
        <v>24</v>
      </c>
      <c r="M36" s="7"/>
      <c r="N36" s="408" t="s">
        <v>22</v>
      </c>
      <c r="O36" s="409"/>
      <c r="P36" s="4"/>
      <c r="Q36" s="431"/>
      <c r="R36" s="432"/>
      <c r="S36" s="38" t="s">
        <v>37</v>
      </c>
      <c r="V36" s="139"/>
      <c r="W36" s="4"/>
      <c r="X36" s="4"/>
      <c r="Y36" s="4"/>
      <c r="Z36" s="138"/>
      <c r="AD36" s="156" t="s">
        <v>53</v>
      </c>
      <c r="AE36" s="24">
        <v>2.5</v>
      </c>
      <c r="AF36" s="4" t="s">
        <v>24</v>
      </c>
      <c r="AG36" s="4"/>
      <c r="AH36" s="138"/>
    </row>
    <row r="37" spans="1:34" s="5" customFormat="1" ht="15" customHeight="1" x14ac:dyDescent="0.2">
      <c r="A37" s="9"/>
      <c r="B37" s="4"/>
      <c r="C37" s="408" t="s">
        <v>20</v>
      </c>
      <c r="D37" s="424"/>
      <c r="E37" s="424"/>
      <c r="F37" s="424"/>
      <c r="G37" s="409"/>
      <c r="H37" s="2"/>
      <c r="I37" s="410"/>
      <c r="J37" s="410"/>
      <c r="K37" s="410"/>
      <c r="L37" s="410"/>
      <c r="M37" s="7"/>
      <c r="N37" s="408" t="s">
        <v>400</v>
      </c>
      <c r="O37" s="409"/>
      <c r="P37" s="4"/>
      <c r="Q37" s="410"/>
      <c r="R37" s="411"/>
      <c r="S37" s="412"/>
      <c r="V37" s="139"/>
      <c r="W37" s="4" t="s">
        <v>42</v>
      </c>
      <c r="X37" s="4" t="s">
        <v>43</v>
      </c>
      <c r="Y37" s="4"/>
      <c r="Z37" s="138"/>
      <c r="AD37" s="156" t="s">
        <v>59</v>
      </c>
      <c r="AE37" s="24">
        <v>0.5</v>
      </c>
      <c r="AF37" s="4"/>
      <c r="AG37" s="4"/>
      <c r="AH37" s="138"/>
    </row>
    <row r="38" spans="1:34" s="5" customFormat="1" ht="15" customHeight="1" x14ac:dyDescent="0.2">
      <c r="A38" s="9"/>
      <c r="B38" s="4"/>
      <c r="C38" s="408" t="s">
        <v>299</v>
      </c>
      <c r="D38" s="424"/>
      <c r="E38" s="424"/>
      <c r="F38" s="424"/>
      <c r="G38" s="409"/>
      <c r="H38" s="2"/>
      <c r="I38" s="410"/>
      <c r="J38" s="410"/>
      <c r="K38" s="410"/>
      <c r="L38" s="410"/>
      <c r="M38" s="7"/>
      <c r="N38" s="408" t="s">
        <v>29</v>
      </c>
      <c r="O38" s="409"/>
      <c r="P38" s="4"/>
      <c r="Q38" s="410"/>
      <c r="R38" s="411"/>
      <c r="S38" s="412"/>
      <c r="V38" s="139"/>
      <c r="W38" s="4" t="s">
        <v>71</v>
      </c>
      <c r="X38" s="4" t="s">
        <v>97</v>
      </c>
      <c r="Y38" s="4" t="s">
        <v>66</v>
      </c>
      <c r="Z38" s="138"/>
      <c r="AD38" s="156" t="s">
        <v>60</v>
      </c>
      <c r="AE38" s="24">
        <v>1</v>
      </c>
      <c r="AF38" s="4"/>
      <c r="AG38" s="4"/>
      <c r="AH38" s="138"/>
    </row>
    <row r="39" spans="1:34" s="5" customFormat="1" ht="15" customHeight="1" x14ac:dyDescent="0.2">
      <c r="A39" s="9"/>
      <c r="B39" s="4"/>
      <c r="C39" s="4"/>
      <c r="D39" s="4"/>
      <c r="E39" s="4"/>
      <c r="F39" s="4"/>
      <c r="G39" s="441"/>
      <c r="H39" s="441"/>
      <c r="I39" s="441"/>
      <c r="J39" s="39"/>
      <c r="K39" s="39"/>
      <c r="L39" s="39"/>
      <c r="M39" s="4"/>
      <c r="N39" s="4"/>
      <c r="O39" s="4"/>
      <c r="P39" s="4"/>
      <c r="Q39" s="39"/>
      <c r="R39" s="39"/>
      <c r="S39" s="15"/>
      <c r="V39" s="139"/>
      <c r="W39" s="4" t="s">
        <v>401</v>
      </c>
      <c r="X39" s="4" t="s">
        <v>402</v>
      </c>
      <c r="Y39" s="4" t="s">
        <v>403</v>
      </c>
      <c r="Z39" s="138"/>
      <c r="AD39" s="156" t="s">
        <v>61</v>
      </c>
      <c r="AE39" s="27">
        <f>2/3</f>
        <v>0.66666666666666663</v>
      </c>
      <c r="AF39" s="4"/>
      <c r="AG39" s="4"/>
      <c r="AH39" s="138"/>
    </row>
    <row r="40" spans="1:34" s="5" customFormat="1" ht="15" customHeight="1" x14ac:dyDescent="0.2">
      <c r="A40" s="37" t="s">
        <v>70</v>
      </c>
      <c r="B40" s="4"/>
      <c r="C40" s="4"/>
      <c r="D40" s="4"/>
      <c r="E40" s="4"/>
      <c r="F40" s="4"/>
      <c r="G40" s="39"/>
      <c r="H40" s="39"/>
      <c r="I40" s="39"/>
      <c r="J40" s="39"/>
      <c r="K40" s="39"/>
      <c r="L40" s="39"/>
      <c r="M40" s="4"/>
      <c r="N40" s="4"/>
      <c r="O40" s="4"/>
      <c r="P40" s="4"/>
      <c r="Q40" s="39"/>
      <c r="R40" s="39"/>
      <c r="S40" s="15"/>
      <c r="V40" s="139"/>
      <c r="W40" s="4" t="s">
        <v>415</v>
      </c>
      <c r="X40" s="4" t="s">
        <v>416</v>
      </c>
      <c r="Y40" s="4" t="s">
        <v>417</v>
      </c>
      <c r="Z40" s="138"/>
      <c r="AD40" s="139"/>
      <c r="AE40" s="45"/>
      <c r="AF40" s="4"/>
      <c r="AG40" s="4"/>
      <c r="AH40" s="138"/>
    </row>
    <row r="41" spans="1:34" s="5" customFormat="1" ht="15" customHeight="1" x14ac:dyDescent="0.2">
      <c r="A41" s="9"/>
      <c r="B41" s="408" t="s">
        <v>27</v>
      </c>
      <c r="C41" s="424"/>
      <c r="D41" s="424"/>
      <c r="E41" s="424"/>
      <c r="F41" s="424"/>
      <c r="G41" s="409"/>
      <c r="H41" s="4"/>
      <c r="I41" s="430"/>
      <c r="J41" s="430"/>
      <c r="K41" s="430"/>
      <c r="L41" s="28" t="s">
        <v>25</v>
      </c>
      <c r="M41" s="4"/>
      <c r="N41" s="408" t="s">
        <v>396</v>
      </c>
      <c r="O41" s="409"/>
      <c r="P41" s="4"/>
      <c r="Q41" s="411"/>
      <c r="R41" s="429"/>
      <c r="S41" s="38" t="s">
        <v>37</v>
      </c>
      <c r="V41" s="139"/>
      <c r="W41" s="4" t="s">
        <v>44</v>
      </c>
      <c r="X41" s="4" t="s">
        <v>52</v>
      </c>
      <c r="Y41" s="4"/>
      <c r="Z41" s="138"/>
      <c r="AD41" s="156"/>
      <c r="AE41" s="24" t="s">
        <v>63</v>
      </c>
      <c r="AF41" s="24" t="s">
        <v>64</v>
      </c>
      <c r="AG41" s="24" t="s">
        <v>65</v>
      </c>
      <c r="AH41" s="162" t="s">
        <v>66</v>
      </c>
    </row>
    <row r="42" spans="1:34" s="5" customFormat="1" ht="15" customHeight="1" x14ac:dyDescent="0.2">
      <c r="A42" s="9"/>
      <c r="B42" s="408" t="s">
        <v>28</v>
      </c>
      <c r="C42" s="424"/>
      <c r="D42" s="424"/>
      <c r="E42" s="424"/>
      <c r="F42" s="424"/>
      <c r="G42" s="409"/>
      <c r="H42" s="4"/>
      <c r="I42" s="434" t="str">
        <f>IF(ISNUMBER($I$41),$I$41*$Q$43,"-")</f>
        <v>-</v>
      </c>
      <c r="J42" s="434"/>
      <c r="K42" s="434"/>
      <c r="L42" s="28" t="s">
        <v>26</v>
      </c>
      <c r="M42" s="4"/>
      <c r="N42" s="408" t="s">
        <v>95</v>
      </c>
      <c r="O42" s="409"/>
      <c r="P42" s="4"/>
      <c r="Q42" s="411"/>
      <c r="R42" s="428"/>
      <c r="S42" s="439"/>
      <c r="V42" s="139"/>
      <c r="W42" s="4" t="s">
        <v>72</v>
      </c>
      <c r="X42" s="4" t="s">
        <v>418</v>
      </c>
      <c r="Y42" s="4"/>
      <c r="Z42" s="138"/>
      <c r="AD42" s="156" t="s">
        <v>62</v>
      </c>
      <c r="AE42" s="26">
        <v>1</v>
      </c>
      <c r="AF42" s="26">
        <v>1.5</v>
      </c>
      <c r="AG42" s="26">
        <v>2</v>
      </c>
      <c r="AH42" s="163">
        <v>4.5</v>
      </c>
    </row>
    <row r="43" spans="1:34" s="5" customFormat="1" ht="15" customHeight="1" x14ac:dyDescent="0.2">
      <c r="A43" s="9"/>
      <c r="B43" s="408" t="s">
        <v>414</v>
      </c>
      <c r="C43" s="424"/>
      <c r="D43" s="424"/>
      <c r="E43" s="424"/>
      <c r="F43" s="424"/>
      <c r="G43" s="409"/>
      <c r="H43" s="2"/>
      <c r="I43" s="430"/>
      <c r="J43" s="430"/>
      <c r="K43" s="430"/>
      <c r="L43" s="28" t="s">
        <v>24</v>
      </c>
      <c r="M43" s="4"/>
      <c r="N43" s="408" t="s">
        <v>96</v>
      </c>
      <c r="O43" s="409"/>
      <c r="P43" s="4"/>
      <c r="Q43" s="435"/>
      <c r="R43" s="436"/>
      <c r="S43" s="38" t="s">
        <v>24</v>
      </c>
      <c r="V43" s="139"/>
      <c r="W43" s="4"/>
      <c r="X43" s="4"/>
      <c r="Y43" s="4"/>
      <c r="Z43" s="138"/>
      <c r="AD43" s="139"/>
      <c r="AE43" s="46"/>
      <c r="AF43" s="46"/>
      <c r="AG43" s="46"/>
      <c r="AH43" s="164"/>
    </row>
    <row r="44" spans="1:34" s="5" customFormat="1" ht="15" customHeight="1" x14ac:dyDescent="0.2">
      <c r="A44" s="9"/>
      <c r="B44" s="4"/>
      <c r="C44" s="4"/>
      <c r="D44" s="4"/>
      <c r="E44" s="4"/>
      <c r="F44" s="4"/>
      <c r="G44" s="4"/>
      <c r="H44" s="4"/>
      <c r="I44" s="4"/>
      <c r="J44" s="4"/>
      <c r="K44" s="4"/>
      <c r="L44" s="4"/>
      <c r="M44" s="4"/>
      <c r="N44" s="4"/>
      <c r="O44" s="4"/>
      <c r="P44" s="4"/>
      <c r="Q44" s="4"/>
      <c r="R44" s="4"/>
      <c r="S44" s="15"/>
      <c r="V44" s="139"/>
      <c r="W44" s="4"/>
      <c r="X44" s="4"/>
      <c r="Y44" s="4"/>
      <c r="Z44" s="138"/>
      <c r="AD44" s="139"/>
      <c r="AE44" s="4"/>
      <c r="AF44" s="4"/>
      <c r="AG44" s="4"/>
      <c r="AH44" s="138"/>
    </row>
    <row r="45" spans="1:34" s="5" customFormat="1" ht="15" customHeight="1" x14ac:dyDescent="0.2">
      <c r="A45" s="37" t="s">
        <v>30</v>
      </c>
      <c r="B45" s="4"/>
      <c r="C45" s="4"/>
      <c r="D45" s="4"/>
      <c r="E45" s="4"/>
      <c r="F45" s="4"/>
      <c r="G45" s="4"/>
      <c r="H45" s="4"/>
      <c r="I45" s="4"/>
      <c r="J45" s="4"/>
      <c r="K45" s="4"/>
      <c r="L45" s="4"/>
      <c r="M45" s="4"/>
      <c r="N45" s="4"/>
      <c r="O45" s="4"/>
      <c r="P45" s="4"/>
      <c r="Q45" s="4"/>
      <c r="R45" s="4"/>
      <c r="S45" s="15"/>
      <c r="V45" s="139"/>
      <c r="W45" s="4"/>
      <c r="X45" s="4"/>
      <c r="Y45" s="4"/>
      <c r="Z45" s="138"/>
      <c r="AD45" s="165" t="s">
        <v>80</v>
      </c>
      <c r="AE45" s="11"/>
      <c r="AF45" s="19"/>
      <c r="AG45" s="19" t="s">
        <v>72</v>
      </c>
      <c r="AH45" s="150" t="s">
        <v>73</v>
      </c>
    </row>
    <row r="46" spans="1:34" s="8" customFormat="1" ht="15" customHeight="1" x14ac:dyDescent="0.2">
      <c r="A46" s="13"/>
      <c r="B46" s="14"/>
      <c r="C46" s="408" t="s">
        <v>31</v>
      </c>
      <c r="D46" s="424"/>
      <c r="E46" s="424"/>
      <c r="F46" s="424"/>
      <c r="G46" s="409"/>
      <c r="H46" s="14"/>
      <c r="I46" s="410"/>
      <c r="J46" s="410"/>
      <c r="K46" s="410"/>
      <c r="L46" s="4"/>
      <c r="M46" s="14"/>
      <c r="N46" s="4" t="s">
        <v>33</v>
      </c>
      <c r="O46" s="4"/>
      <c r="P46" s="4"/>
      <c r="Q46" s="4"/>
      <c r="R46" s="4"/>
      <c r="S46" s="15"/>
      <c r="V46" s="145"/>
      <c r="W46" s="14" t="s">
        <v>45</v>
      </c>
      <c r="X46" s="14" t="s">
        <v>46</v>
      </c>
      <c r="Y46" s="14"/>
      <c r="Z46" s="146"/>
      <c r="AD46" s="166" t="s">
        <v>68</v>
      </c>
      <c r="AE46" s="20" t="s">
        <v>74</v>
      </c>
      <c r="AF46" s="25" t="s">
        <v>42</v>
      </c>
      <c r="AG46" s="25">
        <v>2</v>
      </c>
      <c r="AH46" s="167">
        <v>5</v>
      </c>
    </row>
    <row r="47" spans="1:34" s="5" customFormat="1" ht="15" customHeight="1" x14ac:dyDescent="0.2">
      <c r="A47" s="9"/>
      <c r="B47" s="4"/>
      <c r="C47" s="4"/>
      <c r="D47" s="4"/>
      <c r="E47" s="4"/>
      <c r="F47" s="4"/>
      <c r="G47" s="4"/>
      <c r="H47" s="4"/>
      <c r="I47" s="437" t="s">
        <v>38</v>
      </c>
      <c r="J47" s="437"/>
      <c r="K47" s="437"/>
      <c r="L47" s="4"/>
      <c r="M47" s="4"/>
      <c r="N47" s="408" t="s">
        <v>36</v>
      </c>
      <c r="O47" s="409"/>
      <c r="P47" s="14"/>
      <c r="Q47" s="404"/>
      <c r="R47" s="405"/>
      <c r="S47" s="38" t="s">
        <v>32</v>
      </c>
      <c r="V47" s="139"/>
      <c r="W47" s="4"/>
      <c r="X47" s="4"/>
      <c r="Y47" s="4"/>
      <c r="Z47" s="138"/>
      <c r="AD47" s="168"/>
      <c r="AE47" s="22"/>
      <c r="AF47" s="24" t="s">
        <v>43</v>
      </c>
      <c r="AG47" s="24">
        <v>4</v>
      </c>
      <c r="AH47" s="162">
        <v>7</v>
      </c>
    </row>
    <row r="48" spans="1:34" s="5" customFormat="1" ht="15" customHeight="1" x14ac:dyDescent="0.2">
      <c r="A48" s="9"/>
      <c r="B48" s="4"/>
      <c r="C48" s="4"/>
      <c r="D48" s="4"/>
      <c r="E48" s="4"/>
      <c r="F48" s="4"/>
      <c r="G48" s="4"/>
      <c r="H48" s="4"/>
      <c r="I48" s="438"/>
      <c r="J48" s="438"/>
      <c r="K48" s="438"/>
      <c r="L48" s="4"/>
      <c r="M48" s="4"/>
      <c r="N48" s="408" t="s">
        <v>35</v>
      </c>
      <c r="O48" s="409"/>
      <c r="P48" s="4"/>
      <c r="Q48" s="404"/>
      <c r="R48" s="405"/>
      <c r="S48" s="38" t="s">
        <v>37</v>
      </c>
      <c r="V48" s="139"/>
      <c r="W48" s="4"/>
      <c r="X48" s="4"/>
      <c r="Y48" s="4"/>
      <c r="Z48" s="138"/>
      <c r="AD48" s="168"/>
      <c r="AE48" s="23" t="s">
        <v>75</v>
      </c>
      <c r="AF48" s="24" t="s">
        <v>42</v>
      </c>
      <c r="AG48" s="374">
        <v>5</v>
      </c>
      <c r="AH48" s="375"/>
    </row>
    <row r="49" spans="1:36" s="5" customFormat="1" ht="15" customHeight="1" x14ac:dyDescent="0.2">
      <c r="A49" s="9"/>
      <c r="B49" s="4"/>
      <c r="C49" s="4"/>
      <c r="D49" s="4"/>
      <c r="E49" s="4"/>
      <c r="F49" s="4"/>
      <c r="G49" s="4"/>
      <c r="H49" s="4"/>
      <c r="I49" s="4"/>
      <c r="J49" s="4"/>
      <c r="K49" s="4"/>
      <c r="L49" s="4"/>
      <c r="M49" s="4"/>
      <c r="N49" s="4" t="s">
        <v>34</v>
      </c>
      <c r="O49" s="4"/>
      <c r="P49" s="4"/>
      <c r="Q49" s="4"/>
      <c r="R49" s="4"/>
      <c r="S49" s="15"/>
      <c r="V49" s="139"/>
      <c r="W49" s="4"/>
      <c r="X49" s="4"/>
      <c r="Y49" s="4"/>
      <c r="Z49" s="138"/>
      <c r="AD49" s="169"/>
      <c r="AE49" s="21"/>
      <c r="AF49" s="24" t="s">
        <v>43</v>
      </c>
      <c r="AG49" s="374">
        <v>8</v>
      </c>
      <c r="AH49" s="375"/>
    </row>
    <row r="50" spans="1:36" s="5" customFormat="1" ht="15" customHeight="1" x14ac:dyDescent="0.2">
      <c r="A50" s="9"/>
      <c r="B50" s="4"/>
      <c r="C50" s="4"/>
      <c r="D50" s="4"/>
      <c r="E50" s="4"/>
      <c r="F50" s="4"/>
      <c r="G50" s="4"/>
      <c r="H50" s="4"/>
      <c r="I50" s="438" t="s">
        <v>39</v>
      </c>
      <c r="J50" s="438"/>
      <c r="K50" s="438"/>
      <c r="L50" s="4"/>
      <c r="M50" s="4"/>
      <c r="N50" s="408" t="s">
        <v>36</v>
      </c>
      <c r="O50" s="409"/>
      <c r="P50" s="4"/>
      <c r="Q50" s="413" t="str">
        <f>IF($I$46="nein",$X$58,"")</f>
        <v/>
      </c>
      <c r="R50" s="414"/>
      <c r="S50" s="38" t="s">
        <v>32</v>
      </c>
      <c r="V50" s="139"/>
      <c r="W50" s="4"/>
      <c r="X50" s="4"/>
      <c r="Y50" s="4"/>
      <c r="Z50" s="138"/>
      <c r="AD50" s="170" t="s">
        <v>76</v>
      </c>
      <c r="AE50" s="18" t="s">
        <v>77</v>
      </c>
      <c r="AF50" s="18"/>
      <c r="AG50" s="363">
        <v>8</v>
      </c>
      <c r="AH50" s="364"/>
    </row>
    <row r="51" spans="1:36" s="5" customFormat="1" ht="15" customHeight="1" x14ac:dyDescent="0.2">
      <c r="A51" s="16"/>
      <c r="B51" s="17"/>
      <c r="C51" s="17"/>
      <c r="D51" s="17"/>
      <c r="E51" s="17"/>
      <c r="F51" s="17"/>
      <c r="G51" s="17"/>
      <c r="H51" s="17"/>
      <c r="I51" s="440"/>
      <c r="J51" s="440"/>
      <c r="K51" s="440"/>
      <c r="L51" s="17"/>
      <c r="M51" s="17"/>
      <c r="N51" s="415" t="s">
        <v>35</v>
      </c>
      <c r="O51" s="416"/>
      <c r="P51" s="17"/>
      <c r="Q51" s="406" t="str">
        <f>IF($I$46="nein",$AE$39,"")</f>
        <v/>
      </c>
      <c r="R51" s="407"/>
      <c r="S51" s="40" t="s">
        <v>37</v>
      </c>
      <c r="V51" s="139"/>
      <c r="W51" s="4"/>
      <c r="X51" s="4"/>
      <c r="Y51" s="4"/>
      <c r="Z51" s="138"/>
      <c r="AD51" s="168"/>
      <c r="AE51" s="18" t="s">
        <v>78</v>
      </c>
      <c r="AF51" s="18"/>
      <c r="AG51" s="363">
        <v>4</v>
      </c>
      <c r="AH51" s="364"/>
    </row>
    <row r="52" spans="1:36" s="5" customFormat="1" ht="13.5" thickBot="1" x14ac:dyDescent="0.25">
      <c r="V52" s="140"/>
      <c r="W52" s="142"/>
      <c r="X52" s="142"/>
      <c r="Y52" s="142"/>
      <c r="Z52" s="143"/>
      <c r="AD52" s="168"/>
      <c r="AE52" s="21" t="s">
        <v>79</v>
      </c>
      <c r="AF52" s="24" t="s">
        <v>42</v>
      </c>
      <c r="AG52" s="374">
        <v>2</v>
      </c>
      <c r="AH52" s="375"/>
    </row>
    <row r="53" spans="1:36" s="5" customFormat="1" ht="9.9499999999999993" customHeight="1" thickBot="1" x14ac:dyDescent="0.25">
      <c r="AD53" s="171"/>
      <c r="AE53" s="172"/>
      <c r="AF53" s="173" t="s">
        <v>43</v>
      </c>
      <c r="AG53" s="459">
        <v>4</v>
      </c>
      <c r="AH53" s="460"/>
    </row>
    <row r="54" spans="1:36" s="5" customFormat="1" ht="18.75" thickBot="1" x14ac:dyDescent="0.25">
      <c r="A54" s="6" t="s">
        <v>47</v>
      </c>
      <c r="W54" s="134" t="s">
        <v>462</v>
      </c>
      <c r="X54" s="135"/>
      <c r="Y54" s="135"/>
      <c r="Z54" s="136"/>
      <c r="AD54" s="193" t="s">
        <v>404</v>
      </c>
      <c r="AE54" s="191"/>
      <c r="AF54" s="191" t="s">
        <v>406</v>
      </c>
      <c r="AG54" s="191" t="s">
        <v>407</v>
      </c>
      <c r="AH54" s="192" t="s">
        <v>408</v>
      </c>
    </row>
    <row r="55" spans="1:36" s="5" customFormat="1" ht="8.1" customHeight="1" thickBot="1" x14ac:dyDescent="0.25">
      <c r="A55" s="6"/>
      <c r="W55" s="280"/>
      <c r="X55" s="142"/>
      <c r="Y55" s="142"/>
      <c r="Z55" s="143"/>
      <c r="AD55" s="190"/>
      <c r="AE55" s="135"/>
      <c r="AF55" s="135"/>
      <c r="AG55" s="135"/>
      <c r="AH55" s="136"/>
    </row>
    <row r="56" spans="1:36" s="5" customFormat="1" ht="23.1" customHeight="1" x14ac:dyDescent="0.2">
      <c r="A56" s="10"/>
      <c r="B56" s="11"/>
      <c r="C56" s="11"/>
      <c r="D56" s="11"/>
      <c r="E56" s="11"/>
      <c r="F56" s="11"/>
      <c r="G56" s="41"/>
      <c r="H56" s="11"/>
      <c r="I56" s="41" t="s">
        <v>93</v>
      </c>
      <c r="J56" s="41"/>
      <c r="K56" s="371" t="s">
        <v>54</v>
      </c>
      <c r="L56" s="371"/>
      <c r="M56" s="11"/>
      <c r="N56" s="401" t="str">
        <f>IF(AND(ISNUMBER($Z$56),$Z$56&gt;0),$Z$56,"-")</f>
        <v>-</v>
      </c>
      <c r="O56" s="402"/>
      <c r="P56" s="11"/>
      <c r="Q56" s="390" t="s">
        <v>55</v>
      </c>
      <c r="R56" s="391"/>
      <c r="S56" s="392"/>
      <c r="W56" s="139" t="s">
        <v>58</v>
      </c>
      <c r="X56" s="4">
        <f>IF(L108="Ausgabe freie Lüftung und Ausgabe vg R-LG",MAX(AJ107,30),IF(OR(ISBLANK($I$41),$I$41=""),0,MAX($I$41,30)))</f>
        <v>0</v>
      </c>
      <c r="Y56" s="4" t="s">
        <v>398</v>
      </c>
      <c r="Z56" s="153">
        <f>$X$57*(-0.001*$X$56^2+1.15*$X$56+20)</f>
        <v>0</v>
      </c>
      <c r="AD56" s="139" t="s">
        <v>34</v>
      </c>
      <c r="AE56" s="79" t="s">
        <v>405</v>
      </c>
      <c r="AF56" s="4">
        <v>1</v>
      </c>
      <c r="AG56" s="4">
        <v>1.8</v>
      </c>
      <c r="AH56" s="138">
        <v>2.8</v>
      </c>
    </row>
    <row r="57" spans="1:36" s="5" customFormat="1" ht="8.1" customHeight="1" x14ac:dyDescent="0.2">
      <c r="A57" s="9"/>
      <c r="B57" s="4"/>
      <c r="C57" s="4"/>
      <c r="D57" s="4"/>
      <c r="E57" s="4"/>
      <c r="F57" s="4"/>
      <c r="G57" s="4"/>
      <c r="H57" s="4"/>
      <c r="I57" s="4"/>
      <c r="J57" s="4"/>
      <c r="K57" s="4"/>
      <c r="L57" s="4"/>
      <c r="M57" s="4"/>
      <c r="N57" s="4"/>
      <c r="O57" s="4"/>
      <c r="P57" s="4"/>
      <c r="Q57" s="4"/>
      <c r="R57" s="4"/>
      <c r="S57" s="15"/>
      <c r="W57" s="139" t="s">
        <v>49</v>
      </c>
      <c r="X57" s="4">
        <f>IF($Q$38="hoch",$AE$35,IF($Q$38="gering",$AF$35,0))</f>
        <v>0</v>
      </c>
      <c r="Y57" s="4"/>
      <c r="Z57" s="138"/>
      <c r="AD57" s="139"/>
      <c r="AE57" s="79" t="s">
        <v>409</v>
      </c>
      <c r="AF57" s="4" t="s">
        <v>72</v>
      </c>
      <c r="AG57" s="4" t="s">
        <v>73</v>
      </c>
      <c r="AH57" s="138"/>
    </row>
    <row r="58" spans="1:36" s="5" customFormat="1" ht="23.1" customHeight="1" x14ac:dyDescent="0.2">
      <c r="A58" s="9"/>
      <c r="B58" s="4"/>
      <c r="C58" s="4"/>
      <c r="D58" s="4"/>
      <c r="E58" s="4"/>
      <c r="F58" s="4"/>
      <c r="G58" s="42"/>
      <c r="H58" s="4"/>
      <c r="I58" s="42" t="s">
        <v>94</v>
      </c>
      <c r="J58" s="42"/>
      <c r="K58" s="403" t="s">
        <v>56</v>
      </c>
      <c r="L58" s="403"/>
      <c r="M58" s="4"/>
      <c r="N58" s="399" t="str">
        <f>IF(ISNUMBER($Z$58),$Z$58,"-")</f>
        <v>-</v>
      </c>
      <c r="O58" s="400"/>
      <c r="P58" s="4"/>
      <c r="Q58" s="393" t="s">
        <v>55</v>
      </c>
      <c r="R58" s="394"/>
      <c r="S58" s="395"/>
      <c r="W58" s="139" t="s">
        <v>67</v>
      </c>
      <c r="X58" s="46" t="b">
        <f>IF($I$46="ja",$Q$47,IF($I$46="nein",IF($N$33="ventilatorgestützte Lüftung",$AE$42,IF(OR($I$38="Neubau",(AND($I$38="Modernisierung",$Q$42="eingeschossig"))),$AF$42,IF(AND($I$38="Modernisierung",$Q$42="mehrgeschossig verbunden"),$AG$52,IF($I$38="Bestand",$AH$42,0))))))</f>
        <v>0</v>
      </c>
      <c r="Y58" s="4" t="s">
        <v>399</v>
      </c>
      <c r="Z58" s="153" t="e">
        <f>$AE$37*$X$56*$AE$36*$X$58*($AE$38*$X$59/50)^$X$60</f>
        <v>#NUM!</v>
      </c>
      <c r="AD58" s="139"/>
      <c r="AE58" s="4" t="s">
        <v>401</v>
      </c>
      <c r="AF58" s="4">
        <v>1.7</v>
      </c>
      <c r="AG58" s="4">
        <v>1.3</v>
      </c>
      <c r="AH58" s="138"/>
    </row>
    <row r="59" spans="1:36" s="5" customFormat="1" ht="15" customHeight="1" x14ac:dyDescent="0.2">
      <c r="A59" s="9"/>
      <c r="B59" s="4"/>
      <c r="C59" s="4"/>
      <c r="D59" s="4"/>
      <c r="E59" s="4"/>
      <c r="F59" s="4"/>
      <c r="G59" s="4"/>
      <c r="H59" s="4"/>
      <c r="I59" s="4"/>
      <c r="J59" s="4"/>
      <c r="K59" s="4"/>
      <c r="L59" s="4"/>
      <c r="M59" s="4"/>
      <c r="N59" s="4"/>
      <c r="O59" s="4"/>
      <c r="P59" s="4"/>
      <c r="Q59" s="4"/>
      <c r="R59" s="4"/>
      <c r="S59" s="15"/>
      <c r="W59" s="139" t="s">
        <v>81</v>
      </c>
      <c r="X59" s="4">
        <f>IF(AND($Q$42="mehrgeschossig verbunden",$I$37="windschwach"),$AH$46,IF(AND($Q$42="mehrgeschossig verbunden",$I$37="windstark"),$AH$47,IF(AND($Q$42="eingeschossig",$I$37="windschwach"),$AG$46,IF(AND($Q$42="eingeschossig",$I$37="windstark"),$AG$47,0))))</f>
        <v>0</v>
      </c>
      <c r="Y59" s="4"/>
      <c r="Z59" s="138"/>
      <c r="AD59" s="139"/>
      <c r="AE59" s="4" t="s">
        <v>402</v>
      </c>
      <c r="AF59" s="4">
        <v>1</v>
      </c>
      <c r="AG59" s="4">
        <v>1</v>
      </c>
      <c r="AH59" s="138"/>
    </row>
    <row r="60" spans="1:36" s="5" customFormat="1" ht="23.1" customHeight="1" thickBot="1" x14ac:dyDescent="0.25">
      <c r="A60" s="16"/>
      <c r="B60" s="17"/>
      <c r="C60" s="17"/>
      <c r="D60" s="17"/>
      <c r="E60" s="17"/>
      <c r="F60" s="17"/>
      <c r="G60" s="43"/>
      <c r="H60" s="17"/>
      <c r="I60" s="47"/>
      <c r="J60" s="47"/>
      <c r="K60" s="47"/>
      <c r="L60" s="43" t="s">
        <v>83</v>
      </c>
      <c r="M60" s="47"/>
      <c r="N60" s="368" t="str">
        <f>IF(OR(N56="-",N58="-"),"fehlende Angaben",IF(AND($N$56&gt;$N$58,$N$56&gt;0,$N$58&gt;0),"Maßnahmen erforderlich !",IF(AND($N$56&lt;=$N$58,$N$56&gt;0,$N$58&gt;0),"keine Maßnahmen erforderlich","fehlende Angaben")))</f>
        <v>fehlende Angaben</v>
      </c>
      <c r="O60" s="369"/>
      <c r="P60" s="369"/>
      <c r="Q60" s="369"/>
      <c r="R60" s="369"/>
      <c r="S60" s="370"/>
      <c r="W60" s="140" t="s">
        <v>82</v>
      </c>
      <c r="X60" s="141">
        <f>IF($I$46="nein",$Q$51,IF($I$46="ja",$Q$48,0))</f>
        <v>0</v>
      </c>
      <c r="Y60" s="142"/>
      <c r="Z60" s="143"/>
      <c r="AD60" s="140"/>
      <c r="AE60" s="142" t="s">
        <v>403</v>
      </c>
      <c r="AF60" s="142">
        <v>0.5</v>
      </c>
      <c r="AG60" s="142">
        <v>0.7</v>
      </c>
      <c r="AH60" s="143"/>
    </row>
    <row r="61" spans="1:36" s="5" customFormat="1" x14ac:dyDescent="0.2">
      <c r="W61" s="135"/>
      <c r="X61" s="4"/>
      <c r="Y61" s="4"/>
      <c r="Z61" s="4"/>
      <c r="AA61" s="4"/>
      <c r="AD61" s="139" t="s">
        <v>413</v>
      </c>
      <c r="AE61" s="79" t="s">
        <v>411</v>
      </c>
      <c r="AF61" s="4">
        <f>IF(I43="0 bis 15 m",AF56,IF(I43="15 bis 50 m",AG56,IF(I43="über 50 m",AH56,0)))</f>
        <v>0</v>
      </c>
      <c r="AG61" s="4"/>
      <c r="AH61" s="138"/>
    </row>
    <row r="62" spans="1:36" s="5" customFormat="1" ht="9.9499999999999993" customHeight="1" thickBot="1" x14ac:dyDescent="0.25">
      <c r="U62"/>
      <c r="V62"/>
      <c r="W62"/>
      <c r="X62"/>
      <c r="Y62"/>
      <c r="Z62"/>
      <c r="AA62"/>
      <c r="AB62"/>
      <c r="AC62"/>
      <c r="AD62" s="131"/>
      <c r="AE62" s="79" t="s">
        <v>409</v>
      </c>
      <c r="AF62" s="50">
        <f>IF(AND(Q37="offen",Q42="eingeschossig"),AF58,IF(AND(Q37="offen",Q42="mehrgeschossig verbunden"),AG58,IF(AND(Q37="geschützt",Q42="eingeschossig"),AF60,IF(AND(Q37="geschützt",Q42="mehrgeschossig verbunden"),AG60,1))))</f>
        <v>1</v>
      </c>
      <c r="AG62" s="50"/>
      <c r="AH62" s="126"/>
      <c r="AI62"/>
      <c r="AJ62"/>
    </row>
    <row r="63" spans="1:36" s="5" customFormat="1" ht="18.75" customHeight="1" thickBot="1" x14ac:dyDescent="0.25">
      <c r="A63" s="199" t="s">
        <v>428</v>
      </c>
      <c r="N63" s="469" t="str">
        <f>IF(ISBLANK(N33),"Maßnahme festlegen!",N33)</f>
        <v>Maßnahme festlegen!</v>
      </c>
      <c r="O63" s="470"/>
      <c r="P63" s="470"/>
      <c r="Q63" s="470"/>
      <c r="R63" s="470"/>
      <c r="S63" s="471"/>
      <c r="U63"/>
      <c r="V63"/>
      <c r="W63" s="281" t="s">
        <v>463</v>
      </c>
      <c r="X63" s="154"/>
      <c r="Y63" s="154"/>
      <c r="Z63" s="154"/>
      <c r="AA63" s="121"/>
      <c r="AB63"/>
      <c r="AC63"/>
      <c r="AD63" s="133"/>
      <c r="AE63" s="142" t="s">
        <v>412</v>
      </c>
      <c r="AF63" s="188">
        <f>AF61*AF62</f>
        <v>0</v>
      </c>
      <c r="AG63" s="188"/>
      <c r="AH63" s="130"/>
      <c r="AI63"/>
      <c r="AJ63"/>
    </row>
    <row r="64" spans="1:36" s="5" customFormat="1" ht="15" customHeight="1" x14ac:dyDescent="0.2">
      <c r="U64"/>
      <c r="V64" s="50"/>
      <c r="W64" s="120" t="s">
        <v>304</v>
      </c>
      <c r="X64" s="180" t="b">
        <v>1</v>
      </c>
      <c r="Y64" s="274" t="s">
        <v>425</v>
      </c>
      <c r="Z64" s="180" t="b">
        <v>0</v>
      </c>
      <c r="AA64" s="282" t="s">
        <v>433</v>
      </c>
      <c r="AB64"/>
      <c r="AC64"/>
      <c r="AD64"/>
      <c r="AE64"/>
      <c r="AF64"/>
      <c r="AG64"/>
      <c r="AH64"/>
      <c r="AI64"/>
      <c r="AJ64"/>
    </row>
    <row r="65" spans="1:41" s="5" customFormat="1" ht="15" customHeight="1" thickBot="1" x14ac:dyDescent="0.25">
      <c r="A65" s="44" t="s">
        <v>300</v>
      </c>
      <c r="B65" s="11"/>
      <c r="C65" s="11"/>
      <c r="D65" s="11"/>
      <c r="E65" s="11"/>
      <c r="F65" s="11"/>
      <c r="G65" s="11"/>
      <c r="H65" s="11"/>
      <c r="I65" s="11" t="s">
        <v>350</v>
      </c>
      <c r="J65" s="11"/>
      <c r="K65" s="11"/>
      <c r="L65" s="11"/>
      <c r="M65" s="11"/>
      <c r="N65" s="11" t="s">
        <v>421</v>
      </c>
      <c r="O65" s="11"/>
      <c r="P65" s="11"/>
      <c r="Q65" s="11"/>
      <c r="R65" s="11"/>
      <c r="S65" s="12"/>
      <c r="U65"/>
      <c r="V65" s="50"/>
      <c r="W65" s="131" t="s">
        <v>305</v>
      </c>
      <c r="X65" s="181" t="b">
        <v>0</v>
      </c>
      <c r="Y65" s="275" t="s">
        <v>426</v>
      </c>
      <c r="Z65" s="181" t="b">
        <v>0</v>
      </c>
      <c r="AA65" s="283" t="e">
        <f>IF(L108="Ausgabe freie Lüftung",$X$67,IF(AND(L108="Ausgabe vg Lüftung",AB95=0),$Z$67,"Zu-/Abluft-System"))</f>
        <v>#DIV/0!</v>
      </c>
      <c r="AB65"/>
      <c r="AC65"/>
      <c r="AD65"/>
      <c r="AE65"/>
      <c r="AF65"/>
      <c r="AG65"/>
      <c r="AH65"/>
      <c r="AI65"/>
      <c r="AJ65"/>
    </row>
    <row r="66" spans="1:41" ht="15" customHeight="1" x14ac:dyDescent="0.2">
      <c r="A66" s="13"/>
      <c r="B66" s="14"/>
      <c r="C66" s="14"/>
      <c r="D66" s="445"/>
      <c r="E66" s="445"/>
      <c r="F66" s="445"/>
      <c r="G66" s="445"/>
      <c r="H66" s="14"/>
      <c r="I66" s="446" t="s">
        <v>302</v>
      </c>
      <c r="J66" s="446"/>
      <c r="K66" s="446"/>
      <c r="L66" s="178"/>
      <c r="M66" s="65"/>
      <c r="N66" s="463" t="s">
        <v>422</v>
      </c>
      <c r="O66" s="464"/>
      <c r="P66" s="65"/>
      <c r="Q66" s="65"/>
      <c r="R66" s="4"/>
      <c r="S66" s="15"/>
      <c r="V66" s="50"/>
      <c r="W66" s="132" t="s">
        <v>306</v>
      </c>
      <c r="X66" s="182" t="b">
        <v>0</v>
      </c>
      <c r="Y66" s="276" t="s">
        <v>427</v>
      </c>
      <c r="Z66" s="182" t="b">
        <v>1</v>
      </c>
      <c r="AA66" s="126"/>
    </row>
    <row r="67" spans="1:41" ht="15" customHeight="1" thickBot="1" x14ac:dyDescent="0.25">
      <c r="A67" s="9"/>
      <c r="B67" s="4"/>
      <c r="C67" s="4"/>
      <c r="D67" s="4"/>
      <c r="E67" s="4"/>
      <c r="F67" s="4"/>
      <c r="G67" s="4"/>
      <c r="H67" s="4"/>
      <c r="I67" s="446" t="s">
        <v>301</v>
      </c>
      <c r="J67" s="446"/>
      <c r="K67" s="446"/>
      <c r="L67" s="179"/>
      <c r="M67" s="4"/>
      <c r="N67" s="463" t="s">
        <v>423</v>
      </c>
      <c r="O67" s="464"/>
      <c r="P67" s="65"/>
      <c r="Q67" s="65"/>
      <c r="R67" s="66"/>
      <c r="S67" s="67"/>
      <c r="W67" s="133" t="s">
        <v>336</v>
      </c>
      <c r="X67" s="130" t="str">
        <f>IF($X$64=TRUE,"Querlüftung (FS)",IF($X$65=TRUE,"Querlüftung","Schachtlüftung"))</f>
        <v>Querlüftung (FS)</v>
      </c>
      <c r="Y67" s="133" t="s">
        <v>336</v>
      </c>
      <c r="Z67" s="130" t="str">
        <f>IF($Z$64=TRUE,"Abluftsystem",IF($Z$65=TRUE,"Zuluftsystem","Zu-/Abluft-System"))</f>
        <v>Zu-/Abluft-System</v>
      </c>
      <c r="AA67" s="130"/>
    </row>
    <row r="68" spans="1:41" ht="15" customHeight="1" x14ac:dyDescent="0.2">
      <c r="A68" s="9"/>
      <c r="B68" s="4"/>
      <c r="C68" s="4"/>
      <c r="D68" s="4"/>
      <c r="E68" s="4"/>
      <c r="F68" s="4"/>
      <c r="G68" s="4"/>
      <c r="H68" s="218"/>
      <c r="I68" s="446" t="s">
        <v>303</v>
      </c>
      <c r="J68" s="446"/>
      <c r="K68" s="446"/>
      <c r="L68" s="217"/>
      <c r="M68" s="218"/>
      <c r="N68" s="463" t="s">
        <v>424</v>
      </c>
      <c r="O68" s="464"/>
      <c r="P68" s="216"/>
      <c r="Q68" s="65"/>
      <c r="R68" s="66"/>
      <c r="S68" s="67"/>
      <c r="V68" s="125" t="s">
        <v>334</v>
      </c>
      <c r="W68" s="121"/>
      <c r="X68" s="154"/>
      <c r="Y68" s="200" t="s">
        <v>68</v>
      </c>
      <c r="Z68" s="201" t="s">
        <v>429</v>
      </c>
    </row>
    <row r="69" spans="1:41" ht="8.4499999999999993" customHeight="1" x14ac:dyDescent="0.2">
      <c r="A69" s="9"/>
      <c r="B69" s="4"/>
      <c r="C69" s="4"/>
      <c r="D69" s="4"/>
      <c r="E69" s="4"/>
      <c r="F69" s="4"/>
      <c r="G69" s="4"/>
      <c r="H69" s="4"/>
      <c r="I69" s="215"/>
      <c r="J69" s="215"/>
      <c r="K69" s="215"/>
      <c r="L69" s="66"/>
      <c r="M69" s="73"/>
      <c r="N69" s="215"/>
      <c r="O69" s="215"/>
      <c r="P69" s="65"/>
      <c r="Q69" s="65"/>
      <c r="R69" s="66"/>
      <c r="S69" s="67"/>
      <c r="V69" s="122">
        <f t="shared" ref="V69:V83" si="0">IF(AND(ISTEXT($I74),ISTEXT($N74),ISNUMBER($Q74)),1,0)</f>
        <v>0</v>
      </c>
      <c r="W69" s="126"/>
      <c r="X69" s="50"/>
      <c r="Y69" s="122" t="str">
        <f t="shared" ref="Y69:Y83" si="1">IF(ISBLANK($N74),"",IF($Q$38="hoch",10,IF($Q$38="gering",15,0)))</f>
        <v/>
      </c>
      <c r="Z69" s="123" t="str">
        <f>IF(ISBLANK($N74),"",IF(OR($N74="Hausarbeitsraum",$N74="Kellerraum",$N74="WC"),25,IF(OR($N74="Küche, Kochnische",$N74="Bad mit/ohne WC",$N74="Duschraum"),45,IF($N74="Sauna/Fitnessraum",100,0))))</f>
        <v/>
      </c>
    </row>
    <row r="70" spans="1:41" ht="15" customHeight="1" x14ac:dyDescent="0.2">
      <c r="A70" s="9"/>
      <c r="B70" s="4"/>
      <c r="C70" s="4"/>
      <c r="D70" s="4"/>
      <c r="E70" s="4"/>
      <c r="F70" s="4"/>
      <c r="G70" s="4"/>
      <c r="H70" s="4"/>
      <c r="I70" s="215"/>
      <c r="J70" s="215"/>
      <c r="K70" s="215"/>
      <c r="L70" s="220" t="s">
        <v>441</v>
      </c>
      <c r="M70" s="73"/>
      <c r="N70" s="372" t="s">
        <v>46</v>
      </c>
      <c r="O70" s="373"/>
      <c r="P70" s="65"/>
      <c r="Q70" s="65"/>
      <c r="R70" s="66"/>
      <c r="S70" s="67"/>
      <c r="V70" s="122">
        <f t="shared" si="0"/>
        <v>0</v>
      </c>
      <c r="W70" s="127" t="s">
        <v>316</v>
      </c>
      <c r="X70" s="50"/>
      <c r="Y70" s="122" t="str">
        <f t="shared" si="1"/>
        <v/>
      </c>
      <c r="Z70" s="123" t="str">
        <f>IF(ISBLANK($N75),"",IF(OR($N75="Hausarbeitsraum",$N75="Kellerraum",$N75="WC"),25,IF(OR($N75="Küche, Kochnische",$N75="Bad mit/ohne WC",$N75="Duschraum"),45,IF($N75="Sauna/Fitnessraum",100,0))))</f>
        <v/>
      </c>
    </row>
    <row r="71" spans="1:41" ht="8.4499999999999993" customHeight="1" x14ac:dyDescent="0.2">
      <c r="A71" s="16"/>
      <c r="B71" s="17"/>
      <c r="C71" s="17"/>
      <c r="D71" s="17"/>
      <c r="E71" s="17"/>
      <c r="F71" s="17"/>
      <c r="G71" s="17"/>
      <c r="H71" s="17"/>
      <c r="I71" s="219"/>
      <c r="J71" s="219"/>
      <c r="K71" s="219"/>
      <c r="L71" s="69"/>
      <c r="M71" s="113"/>
      <c r="N71" s="219"/>
      <c r="O71" s="219"/>
      <c r="P71" s="68"/>
      <c r="Q71" s="68"/>
      <c r="R71" s="69"/>
      <c r="S71" s="70"/>
      <c r="V71" s="122">
        <f t="shared" si="0"/>
        <v>0</v>
      </c>
      <c r="W71" s="123"/>
      <c r="X71" s="50"/>
      <c r="Y71" s="122" t="str">
        <f t="shared" si="1"/>
        <v/>
      </c>
      <c r="Z71" s="123" t="str">
        <f t="shared" ref="Z71:Z83" si="2">IF(ISBLANK($N76),"",IF(OR($N76="Hausarbeitsraum",$N76="Kellerraum",$N76="WC"),25,IF(OR($N76="Küche, Kochnische",$N76="Bad mit/ohne WC",$N76="Duschraum"),45,IF($N76="Sauna/Fitnessraum",100,0))))</f>
        <v/>
      </c>
    </row>
    <row r="72" spans="1:41" x14ac:dyDescent="0.2">
      <c r="A72" s="50"/>
      <c r="B72" s="50"/>
      <c r="C72" s="50"/>
      <c r="D72" s="50"/>
      <c r="E72" s="50"/>
      <c r="F72" s="50"/>
      <c r="G72" s="50"/>
      <c r="H72" s="50"/>
      <c r="I72" s="50"/>
      <c r="J72" s="50"/>
      <c r="K72" s="50"/>
      <c r="L72" s="50"/>
      <c r="M72" s="50"/>
      <c r="N72" s="50"/>
      <c r="O72" s="50"/>
      <c r="P72" s="50"/>
      <c r="Q72" s="50"/>
      <c r="R72" s="50"/>
      <c r="S72" s="50"/>
      <c r="V72" s="122">
        <f t="shared" si="0"/>
        <v>0</v>
      </c>
      <c r="W72" s="123" t="s">
        <v>309</v>
      </c>
      <c r="X72" s="50"/>
      <c r="Y72" s="122" t="str">
        <f t="shared" si="1"/>
        <v/>
      </c>
      <c r="Z72" s="123" t="str">
        <f t="shared" si="2"/>
        <v/>
      </c>
    </row>
    <row r="73" spans="1:41" s="5" customFormat="1" ht="15" customHeight="1" x14ac:dyDescent="0.2">
      <c r="A73" s="44" t="s">
        <v>394</v>
      </c>
      <c r="B73" s="11"/>
      <c r="C73" s="11"/>
      <c r="D73" s="11"/>
      <c r="E73" s="11"/>
      <c r="F73" s="11"/>
      <c r="G73" s="11"/>
      <c r="H73" s="11"/>
      <c r="I73" s="454" t="s">
        <v>327</v>
      </c>
      <c r="J73" s="454"/>
      <c r="K73" s="454"/>
      <c r="L73" s="297" t="s">
        <v>473</v>
      </c>
      <c r="M73" s="240"/>
      <c r="N73" s="239" t="s">
        <v>307</v>
      </c>
      <c r="O73" s="239"/>
      <c r="P73" s="240"/>
      <c r="Q73" s="239" t="s">
        <v>308</v>
      </c>
      <c r="R73" s="11"/>
      <c r="S73" s="241"/>
      <c r="V73" s="168">
        <f t="shared" si="0"/>
        <v>0</v>
      </c>
      <c r="W73" s="242" t="s">
        <v>310</v>
      </c>
      <c r="X73" s="4"/>
      <c r="Y73" s="168" t="str">
        <f t="shared" si="1"/>
        <v/>
      </c>
      <c r="Z73" s="242" t="str">
        <f t="shared" si="2"/>
        <v/>
      </c>
    </row>
    <row r="74" spans="1:41" ht="12.95" customHeight="1" x14ac:dyDescent="0.2">
      <c r="A74" s="37"/>
      <c r="B74" s="50"/>
      <c r="C74" s="50"/>
      <c r="D74" s="50"/>
      <c r="E74" s="50"/>
      <c r="F74" s="50"/>
      <c r="G74" s="447" t="s">
        <v>315</v>
      </c>
      <c r="H74" s="55"/>
      <c r="I74" s="455"/>
      <c r="J74" s="456"/>
      <c r="K74" s="456"/>
      <c r="L74" s="317"/>
      <c r="M74" s="55"/>
      <c r="N74" s="461"/>
      <c r="O74" s="462"/>
      <c r="P74" s="55"/>
      <c r="Q74" s="175"/>
      <c r="R74" s="55"/>
      <c r="S74" s="58" t="s">
        <v>25</v>
      </c>
      <c r="V74" s="122">
        <f t="shared" si="0"/>
        <v>0</v>
      </c>
      <c r="W74" s="123" t="s">
        <v>311</v>
      </c>
      <c r="X74" s="50"/>
      <c r="Y74" s="122" t="str">
        <f t="shared" si="1"/>
        <v/>
      </c>
      <c r="Z74" s="123" t="str">
        <f t="shared" si="2"/>
        <v/>
      </c>
      <c r="AH74" s="307" t="s">
        <v>470</v>
      </c>
      <c r="AI74" s="307" t="s">
        <v>471</v>
      </c>
      <c r="AJ74" s="307" t="s">
        <v>472</v>
      </c>
      <c r="AK74" s="319" t="s">
        <v>476</v>
      </c>
      <c r="AL74" s="319" t="s">
        <v>482</v>
      </c>
      <c r="AM74" s="319" t="s">
        <v>481</v>
      </c>
      <c r="AN74" s="319" t="s">
        <v>483</v>
      </c>
      <c r="AO74" s="319" t="s">
        <v>68</v>
      </c>
    </row>
    <row r="75" spans="1:41" ht="12.95" customHeight="1" x14ac:dyDescent="0.2">
      <c r="A75" s="51"/>
      <c r="B75" s="50"/>
      <c r="C75" s="50"/>
      <c r="D75" s="50"/>
      <c r="E75" s="50"/>
      <c r="F75" s="50"/>
      <c r="G75" s="448"/>
      <c r="H75" s="50"/>
      <c r="I75" s="457"/>
      <c r="J75" s="458"/>
      <c r="K75" s="458"/>
      <c r="L75" s="316"/>
      <c r="M75" s="50"/>
      <c r="N75" s="380"/>
      <c r="O75" s="381"/>
      <c r="P75" s="50"/>
      <c r="Q75" s="176"/>
      <c r="R75" s="50"/>
      <c r="S75" s="56" t="s">
        <v>25</v>
      </c>
      <c r="V75" s="122">
        <f t="shared" si="0"/>
        <v>0</v>
      </c>
      <c r="W75" s="123" t="s">
        <v>312</v>
      </c>
      <c r="X75" s="50"/>
      <c r="Y75" s="122" t="str">
        <f t="shared" si="1"/>
        <v/>
      </c>
      <c r="Z75" s="123" t="str">
        <f t="shared" si="2"/>
        <v/>
      </c>
      <c r="AH75" s="24">
        <f>I74</f>
        <v>0</v>
      </c>
      <c r="AI75" s="24">
        <f>IF(L74="ja",Q74,0)</f>
        <v>0</v>
      </c>
      <c r="AJ75" s="24">
        <f>IF(L74="nein",Q74,0)</f>
        <v>0</v>
      </c>
      <c r="AK75" s="310" t="str">
        <f>IF(AND($L$108="Ausgabe freie Lüftung und Ausgabe vg R-LG",L74="ja"),IF(Q74&lt;10,10,Q74),"")</f>
        <v/>
      </c>
      <c r="AL75" s="310" t="str">
        <f>IF(ISNUMBER(AK75),$B$95*0.5*(AK75+10),"")</f>
        <v/>
      </c>
      <c r="AM75" s="310" t="str">
        <f>IF(ISNUMBER(AK75),$B$96*0.5*(AK75+10),"")</f>
        <v/>
      </c>
      <c r="AN75" s="310" t="str">
        <f>IF(ISNUMBER(AK75),$B$97*0.5*(AK75+10),"")</f>
        <v/>
      </c>
      <c r="AO75" s="310" t="str">
        <f>IF(AJ75=0,"",IF($Q$38="hoch",10,IF($Q$38="gering",15,0)))</f>
        <v/>
      </c>
    </row>
    <row r="76" spans="1:41" ht="12.95" customHeight="1" x14ac:dyDescent="0.2">
      <c r="A76" s="51"/>
      <c r="B76" s="50"/>
      <c r="C76" s="50"/>
      <c r="D76" s="50"/>
      <c r="E76" s="50"/>
      <c r="F76" s="50"/>
      <c r="G76" s="448"/>
      <c r="H76" s="50"/>
      <c r="I76" s="457"/>
      <c r="J76" s="458"/>
      <c r="K76" s="458"/>
      <c r="L76" s="316"/>
      <c r="M76" s="50"/>
      <c r="N76" s="380"/>
      <c r="O76" s="381"/>
      <c r="P76" s="50"/>
      <c r="Q76" s="176"/>
      <c r="R76" s="50"/>
      <c r="S76" s="56" t="s">
        <v>25</v>
      </c>
      <c r="V76" s="122">
        <f t="shared" si="0"/>
        <v>0</v>
      </c>
      <c r="W76" s="123" t="s">
        <v>313</v>
      </c>
      <c r="X76" s="50"/>
      <c r="Y76" s="122" t="str">
        <f t="shared" si="1"/>
        <v/>
      </c>
      <c r="Z76" s="123" t="str">
        <f t="shared" si="2"/>
        <v/>
      </c>
      <c r="AH76" s="24">
        <f t="shared" ref="AH76:AH89" si="3">I75</f>
        <v>0</v>
      </c>
      <c r="AI76" s="24">
        <f t="shared" ref="AI76:AI89" si="4">IF(L75="ja",Q75,0)</f>
        <v>0</v>
      </c>
      <c r="AJ76" s="24">
        <f t="shared" ref="AJ76:AJ89" si="5">IF(L75="nein",Q75,0)</f>
        <v>0</v>
      </c>
      <c r="AK76" s="310" t="str">
        <f t="shared" ref="AK76:AK90" si="6">IF(AND($L$108="Ausgabe freie Lüftung und Ausgabe vg R-LG",L75="ja"),IF(Q75&lt;10,10,Q75),"")</f>
        <v/>
      </c>
      <c r="AL76" s="310" t="str">
        <f t="shared" ref="AL76:AL105" si="7">IF(ISNUMBER(AK76),$B$95*0.5*(AK76+10),"")</f>
        <v/>
      </c>
      <c r="AM76" s="310" t="str">
        <f t="shared" ref="AM76:AM105" si="8">IF(ISNUMBER(AK76),$B$96*0.5*(AK76+10),"")</f>
        <v/>
      </c>
      <c r="AN76" s="310" t="str">
        <f t="shared" ref="AN76:AN105" si="9">IF(ISNUMBER(AK76),$B$97*0.5*(AK76+10),"")</f>
        <v/>
      </c>
      <c r="AO76" s="310" t="str">
        <f t="shared" ref="AO76:AO89" si="10">IF(AJ76=0,"",IF($Q$38="hoch",10,IF($Q$38="gering",15,0)))</f>
        <v/>
      </c>
    </row>
    <row r="77" spans="1:41" ht="12.95" customHeight="1" x14ac:dyDescent="0.2">
      <c r="A77" s="51"/>
      <c r="B77" s="50"/>
      <c r="C77" s="50"/>
      <c r="D77" s="50"/>
      <c r="E77" s="50"/>
      <c r="F77" s="50"/>
      <c r="G77" s="448"/>
      <c r="H77" s="50"/>
      <c r="I77" s="457"/>
      <c r="J77" s="458"/>
      <c r="K77" s="458"/>
      <c r="L77" s="316"/>
      <c r="M77" s="50"/>
      <c r="N77" s="380"/>
      <c r="O77" s="381"/>
      <c r="P77" s="50"/>
      <c r="Q77" s="176"/>
      <c r="R77" s="50"/>
      <c r="S77" s="56" t="s">
        <v>25</v>
      </c>
      <c r="V77" s="122">
        <f t="shared" si="0"/>
        <v>0</v>
      </c>
      <c r="W77" s="128" t="s">
        <v>314</v>
      </c>
      <c r="X77" s="50"/>
      <c r="Y77" s="122" t="str">
        <f t="shared" si="1"/>
        <v/>
      </c>
      <c r="Z77" s="123" t="str">
        <f t="shared" si="2"/>
        <v/>
      </c>
      <c r="AH77" s="24">
        <f t="shared" si="3"/>
        <v>0</v>
      </c>
      <c r="AI77" s="24">
        <f t="shared" si="4"/>
        <v>0</v>
      </c>
      <c r="AJ77" s="24">
        <f t="shared" si="5"/>
        <v>0</v>
      </c>
      <c r="AK77" s="310" t="str">
        <f t="shared" si="6"/>
        <v/>
      </c>
      <c r="AL77" s="310" t="str">
        <f t="shared" si="7"/>
        <v/>
      </c>
      <c r="AM77" s="310" t="str">
        <f t="shared" si="8"/>
        <v/>
      </c>
      <c r="AN77" s="310" t="str">
        <f t="shared" si="9"/>
        <v/>
      </c>
      <c r="AO77" s="310" t="str">
        <f t="shared" si="10"/>
        <v/>
      </c>
    </row>
    <row r="78" spans="1:41" ht="12.95" customHeight="1" x14ac:dyDescent="0.2">
      <c r="A78" s="51"/>
      <c r="B78" s="50"/>
      <c r="C78" s="50"/>
      <c r="D78" s="50"/>
      <c r="E78" s="50"/>
      <c r="F78" s="50"/>
      <c r="G78" s="448"/>
      <c r="H78" s="50"/>
      <c r="I78" s="457"/>
      <c r="J78" s="458"/>
      <c r="K78" s="458"/>
      <c r="L78" s="316"/>
      <c r="M78" s="50"/>
      <c r="N78" s="380"/>
      <c r="O78" s="381"/>
      <c r="P78" s="50"/>
      <c r="Q78" s="176"/>
      <c r="R78" s="50"/>
      <c r="S78" s="56" t="s">
        <v>25</v>
      </c>
      <c r="V78" s="122">
        <f t="shared" si="0"/>
        <v>0</v>
      </c>
      <c r="W78" s="204" t="s">
        <v>436</v>
      </c>
      <c r="X78" s="50"/>
      <c r="Y78" s="122" t="str">
        <f t="shared" si="1"/>
        <v/>
      </c>
      <c r="Z78" s="123" t="str">
        <f t="shared" si="2"/>
        <v/>
      </c>
      <c r="AH78" s="24">
        <f t="shared" si="3"/>
        <v>0</v>
      </c>
      <c r="AI78" s="24">
        <f t="shared" si="4"/>
        <v>0</v>
      </c>
      <c r="AJ78" s="24">
        <f t="shared" si="5"/>
        <v>0</v>
      </c>
      <c r="AK78" s="310" t="str">
        <f t="shared" si="6"/>
        <v/>
      </c>
      <c r="AL78" s="310" t="str">
        <f t="shared" si="7"/>
        <v/>
      </c>
      <c r="AM78" s="310" t="str">
        <f t="shared" si="8"/>
        <v/>
      </c>
      <c r="AN78" s="310" t="str">
        <f t="shared" si="9"/>
        <v/>
      </c>
      <c r="AO78" s="310" t="str">
        <f t="shared" si="10"/>
        <v/>
      </c>
    </row>
    <row r="79" spans="1:41" ht="12.95" customHeight="1" x14ac:dyDescent="0.2">
      <c r="A79" s="51"/>
      <c r="B79" s="50"/>
      <c r="C79" s="50"/>
      <c r="D79" s="50"/>
      <c r="E79" s="50"/>
      <c r="F79" s="50"/>
      <c r="G79" s="448"/>
      <c r="H79" s="50"/>
      <c r="I79" s="457"/>
      <c r="J79" s="458"/>
      <c r="K79" s="458"/>
      <c r="L79" s="316"/>
      <c r="M79" s="50"/>
      <c r="N79" s="380"/>
      <c r="O79" s="381"/>
      <c r="P79" s="50"/>
      <c r="Q79" s="176"/>
      <c r="R79" s="50"/>
      <c r="S79" s="56" t="s">
        <v>25</v>
      </c>
      <c r="V79" s="122">
        <f t="shared" si="0"/>
        <v>0</v>
      </c>
      <c r="W79" s="126"/>
      <c r="X79" s="50"/>
      <c r="Y79" s="122" t="str">
        <f t="shared" si="1"/>
        <v/>
      </c>
      <c r="Z79" s="123" t="str">
        <f t="shared" si="2"/>
        <v/>
      </c>
      <c r="AH79" s="24">
        <f t="shared" si="3"/>
        <v>0</v>
      </c>
      <c r="AI79" s="24">
        <f t="shared" si="4"/>
        <v>0</v>
      </c>
      <c r="AJ79" s="24">
        <f t="shared" si="5"/>
        <v>0</v>
      </c>
      <c r="AK79" s="310" t="str">
        <f t="shared" si="6"/>
        <v/>
      </c>
      <c r="AL79" s="310" t="str">
        <f t="shared" si="7"/>
        <v/>
      </c>
      <c r="AM79" s="310" t="str">
        <f t="shared" si="8"/>
        <v/>
      </c>
      <c r="AN79" s="310" t="str">
        <f t="shared" si="9"/>
        <v/>
      </c>
      <c r="AO79" s="310" t="str">
        <f t="shared" si="10"/>
        <v/>
      </c>
    </row>
    <row r="80" spans="1:41" ht="12.95" customHeight="1" x14ac:dyDescent="0.2">
      <c r="A80" s="51"/>
      <c r="B80" s="50"/>
      <c r="C80" s="50"/>
      <c r="D80" s="50"/>
      <c r="E80" s="50"/>
      <c r="F80" s="50"/>
      <c r="G80" s="448"/>
      <c r="H80" s="50"/>
      <c r="I80" s="346"/>
      <c r="J80" s="347"/>
      <c r="K80" s="347"/>
      <c r="L80" s="316"/>
      <c r="M80" s="50"/>
      <c r="N80" s="380"/>
      <c r="O80" s="381"/>
      <c r="P80" s="50"/>
      <c r="Q80" s="176"/>
      <c r="R80" s="50"/>
      <c r="S80" s="56" t="s">
        <v>25</v>
      </c>
      <c r="V80" s="122">
        <f t="shared" si="0"/>
        <v>0</v>
      </c>
      <c r="W80" s="126"/>
      <c r="X80" s="50"/>
      <c r="Y80" s="122" t="str">
        <f t="shared" si="1"/>
        <v/>
      </c>
      <c r="Z80" s="123" t="str">
        <f t="shared" si="2"/>
        <v/>
      </c>
      <c r="AH80" s="24">
        <f t="shared" si="3"/>
        <v>0</v>
      </c>
      <c r="AI80" s="24">
        <f t="shared" si="4"/>
        <v>0</v>
      </c>
      <c r="AJ80" s="24">
        <f t="shared" si="5"/>
        <v>0</v>
      </c>
      <c r="AK80" s="310" t="str">
        <f t="shared" si="6"/>
        <v/>
      </c>
      <c r="AL80" s="310" t="str">
        <f t="shared" si="7"/>
        <v/>
      </c>
      <c r="AM80" s="310" t="str">
        <f t="shared" si="8"/>
        <v/>
      </c>
      <c r="AN80" s="310" t="str">
        <f t="shared" si="9"/>
        <v/>
      </c>
      <c r="AO80" s="310" t="str">
        <f t="shared" si="10"/>
        <v/>
      </c>
    </row>
    <row r="81" spans="1:41" ht="12.95" customHeight="1" x14ac:dyDescent="0.2">
      <c r="A81" s="51"/>
      <c r="B81" s="50"/>
      <c r="C81" s="50"/>
      <c r="D81" s="50"/>
      <c r="E81" s="50"/>
      <c r="F81" s="50"/>
      <c r="G81" s="448"/>
      <c r="H81" s="50"/>
      <c r="I81" s="346"/>
      <c r="J81" s="347"/>
      <c r="K81" s="347"/>
      <c r="L81" s="316"/>
      <c r="M81" s="50"/>
      <c r="N81" s="380"/>
      <c r="O81" s="381"/>
      <c r="P81" s="50"/>
      <c r="Q81" s="176"/>
      <c r="R81" s="50"/>
      <c r="S81" s="56" t="s">
        <v>25</v>
      </c>
      <c r="V81" s="122">
        <f t="shared" si="0"/>
        <v>0</v>
      </c>
      <c r="W81" s="126"/>
      <c r="X81" s="50"/>
      <c r="Y81" s="122" t="str">
        <f t="shared" si="1"/>
        <v/>
      </c>
      <c r="Z81" s="123" t="str">
        <f t="shared" si="2"/>
        <v/>
      </c>
      <c r="AH81" s="24">
        <f t="shared" si="3"/>
        <v>0</v>
      </c>
      <c r="AI81" s="24">
        <f t="shared" si="4"/>
        <v>0</v>
      </c>
      <c r="AJ81" s="24">
        <f t="shared" si="5"/>
        <v>0</v>
      </c>
      <c r="AK81" s="310" t="str">
        <f t="shared" si="6"/>
        <v/>
      </c>
      <c r="AL81" s="310" t="str">
        <f t="shared" si="7"/>
        <v/>
      </c>
      <c r="AM81" s="310" t="str">
        <f t="shared" si="8"/>
        <v/>
      </c>
      <c r="AN81" s="310" t="str">
        <f t="shared" si="9"/>
        <v/>
      </c>
      <c r="AO81" s="310" t="str">
        <f t="shared" si="10"/>
        <v/>
      </c>
    </row>
    <row r="82" spans="1:41" ht="12.95" customHeight="1" x14ac:dyDescent="0.2">
      <c r="A82" s="51"/>
      <c r="B82" s="50"/>
      <c r="C82" s="50"/>
      <c r="D82" s="50"/>
      <c r="E82" s="50"/>
      <c r="F82" s="50"/>
      <c r="G82" s="448"/>
      <c r="H82" s="50"/>
      <c r="I82" s="346"/>
      <c r="J82" s="347"/>
      <c r="K82" s="347"/>
      <c r="L82" s="316"/>
      <c r="M82" s="50"/>
      <c r="N82" s="380"/>
      <c r="O82" s="381"/>
      <c r="P82" s="50"/>
      <c r="Q82" s="176"/>
      <c r="R82" s="50"/>
      <c r="S82" s="56" t="s">
        <v>25</v>
      </c>
      <c r="V82" s="122">
        <f t="shared" si="0"/>
        <v>0</v>
      </c>
      <c r="W82" s="126"/>
      <c r="X82" s="50"/>
      <c r="Y82" s="122" t="str">
        <f t="shared" si="1"/>
        <v/>
      </c>
      <c r="Z82" s="123" t="str">
        <f t="shared" si="2"/>
        <v/>
      </c>
      <c r="AH82" s="24">
        <f t="shared" si="3"/>
        <v>0</v>
      </c>
      <c r="AI82" s="24">
        <f t="shared" si="4"/>
        <v>0</v>
      </c>
      <c r="AJ82" s="24">
        <f t="shared" si="5"/>
        <v>0</v>
      </c>
      <c r="AK82" s="310" t="str">
        <f t="shared" si="6"/>
        <v/>
      </c>
      <c r="AL82" s="310" t="str">
        <f t="shared" si="7"/>
        <v/>
      </c>
      <c r="AM82" s="310" t="str">
        <f t="shared" si="8"/>
        <v/>
      </c>
      <c r="AN82" s="310" t="str">
        <f t="shared" si="9"/>
        <v/>
      </c>
      <c r="AO82" s="310" t="str">
        <f t="shared" si="10"/>
        <v/>
      </c>
    </row>
    <row r="83" spans="1:41" ht="12.95" customHeight="1" thickBot="1" x14ac:dyDescent="0.25">
      <c r="A83" s="51"/>
      <c r="B83" s="50"/>
      <c r="C83" s="50"/>
      <c r="D83" s="50"/>
      <c r="E83" s="50"/>
      <c r="F83" s="50"/>
      <c r="G83" s="448"/>
      <c r="H83" s="50"/>
      <c r="I83" s="457"/>
      <c r="J83" s="458"/>
      <c r="K83" s="458"/>
      <c r="L83" s="316"/>
      <c r="M83" s="50"/>
      <c r="N83" s="380"/>
      <c r="O83" s="381"/>
      <c r="P83" s="50"/>
      <c r="Q83" s="176"/>
      <c r="R83" s="50"/>
      <c r="S83" s="56" t="s">
        <v>25</v>
      </c>
      <c r="V83" s="129">
        <f t="shared" si="0"/>
        <v>0</v>
      </c>
      <c r="W83" s="130"/>
      <c r="X83" s="50"/>
      <c r="Y83" s="122" t="str">
        <f t="shared" si="1"/>
        <v/>
      </c>
      <c r="Z83" s="123" t="str">
        <f t="shared" si="2"/>
        <v/>
      </c>
      <c r="AH83" s="24">
        <f t="shared" si="3"/>
        <v>0</v>
      </c>
      <c r="AI83" s="24">
        <f t="shared" si="4"/>
        <v>0</v>
      </c>
      <c r="AJ83" s="24">
        <f t="shared" si="5"/>
        <v>0</v>
      </c>
      <c r="AK83" s="310" t="str">
        <f t="shared" si="6"/>
        <v/>
      </c>
      <c r="AL83" s="310" t="str">
        <f t="shared" si="7"/>
        <v/>
      </c>
      <c r="AM83" s="310" t="str">
        <f t="shared" si="8"/>
        <v/>
      </c>
      <c r="AN83" s="310" t="str">
        <f t="shared" si="9"/>
        <v/>
      </c>
      <c r="AO83" s="310" t="str">
        <f t="shared" si="10"/>
        <v/>
      </c>
    </row>
    <row r="84" spans="1:41" ht="12.95" customHeight="1" thickBot="1" x14ac:dyDescent="0.25">
      <c r="A84" s="51"/>
      <c r="B84" s="50"/>
      <c r="C84" s="50"/>
      <c r="D84" s="50"/>
      <c r="E84" s="50"/>
      <c r="F84" s="50"/>
      <c r="G84" s="448"/>
      <c r="H84" s="50"/>
      <c r="I84" s="346"/>
      <c r="J84" s="347"/>
      <c r="K84" s="347"/>
      <c r="L84" s="316"/>
      <c r="M84" s="50"/>
      <c r="N84" s="380"/>
      <c r="O84" s="381"/>
      <c r="P84" s="50"/>
      <c r="Q84" s="176"/>
      <c r="R84" s="50"/>
      <c r="S84" s="56" t="s">
        <v>25</v>
      </c>
      <c r="V84" s="131"/>
      <c r="W84" s="50"/>
      <c r="X84" s="50"/>
      <c r="Y84" s="124">
        <f>SUM(Y69:Y83)</f>
        <v>0</v>
      </c>
      <c r="Z84" s="273">
        <f>SUM(Z69:Z83)</f>
        <v>0</v>
      </c>
      <c r="AH84" s="24">
        <f t="shared" si="3"/>
        <v>0</v>
      </c>
      <c r="AI84" s="24">
        <f t="shared" si="4"/>
        <v>0</v>
      </c>
      <c r="AJ84" s="24">
        <f t="shared" si="5"/>
        <v>0</v>
      </c>
      <c r="AK84" s="310" t="str">
        <f t="shared" si="6"/>
        <v/>
      </c>
      <c r="AL84" s="310" t="str">
        <f t="shared" si="7"/>
        <v/>
      </c>
      <c r="AM84" s="310" t="str">
        <f t="shared" si="8"/>
        <v/>
      </c>
      <c r="AN84" s="310" t="str">
        <f t="shared" si="9"/>
        <v/>
      </c>
      <c r="AO84" s="310" t="str">
        <f t="shared" si="10"/>
        <v/>
      </c>
    </row>
    <row r="85" spans="1:41" ht="12.95" customHeight="1" x14ac:dyDescent="0.2">
      <c r="A85" s="51"/>
      <c r="B85" s="50"/>
      <c r="C85" s="50"/>
      <c r="D85" s="50"/>
      <c r="E85" s="50"/>
      <c r="F85" s="50"/>
      <c r="G85" s="448"/>
      <c r="H85" s="50"/>
      <c r="I85" s="346"/>
      <c r="J85" s="347"/>
      <c r="K85" s="347"/>
      <c r="L85" s="316"/>
      <c r="M85" s="50"/>
      <c r="N85" s="380"/>
      <c r="O85" s="381"/>
      <c r="P85" s="50"/>
      <c r="Q85" s="176"/>
      <c r="R85" s="50"/>
      <c r="S85" s="56" t="s">
        <v>25</v>
      </c>
      <c r="V85" s="147" t="s">
        <v>334</v>
      </c>
      <c r="W85" s="121"/>
      <c r="X85" s="50"/>
      <c r="Y85" s="200" t="s">
        <v>68</v>
      </c>
      <c r="Z85" s="308" t="s">
        <v>446</v>
      </c>
      <c r="AA85" s="309" t="s">
        <v>465</v>
      </c>
      <c r="AB85" s="310"/>
      <c r="AC85" s="310"/>
      <c r="AD85" s="310"/>
      <c r="AE85" s="310"/>
      <c r="AF85" s="310"/>
      <c r="AH85" s="24">
        <f t="shared" si="3"/>
        <v>0</v>
      </c>
      <c r="AI85" s="24">
        <f t="shared" si="4"/>
        <v>0</v>
      </c>
      <c r="AJ85" s="24">
        <f t="shared" si="5"/>
        <v>0</v>
      </c>
      <c r="AK85" s="310" t="str">
        <f t="shared" si="6"/>
        <v/>
      </c>
      <c r="AL85" s="310" t="str">
        <f t="shared" si="7"/>
        <v/>
      </c>
      <c r="AM85" s="310" t="str">
        <f t="shared" si="8"/>
        <v/>
      </c>
      <c r="AN85" s="310" t="str">
        <f t="shared" si="9"/>
        <v/>
      </c>
      <c r="AO85" s="310" t="str">
        <f t="shared" si="10"/>
        <v/>
      </c>
    </row>
    <row r="86" spans="1:41" ht="12.95" customHeight="1" x14ac:dyDescent="0.2">
      <c r="A86" s="51"/>
      <c r="B86" s="50"/>
      <c r="C86" s="50"/>
      <c r="D86" s="50"/>
      <c r="E86" s="50"/>
      <c r="F86" s="50"/>
      <c r="G86" s="448"/>
      <c r="H86" s="50"/>
      <c r="I86" s="346"/>
      <c r="J86" s="347"/>
      <c r="K86" s="347"/>
      <c r="L86" s="316"/>
      <c r="M86" s="50"/>
      <c r="N86" s="380"/>
      <c r="O86" s="381"/>
      <c r="P86" s="50"/>
      <c r="Q86" s="176"/>
      <c r="R86" s="50"/>
      <c r="S86" s="56" t="s">
        <v>25</v>
      </c>
      <c r="V86" s="122">
        <f t="shared" ref="V86:V100" si="11">IF(AND(ISTEXT($I91),ISTEXT($N91),ISNUMBER($Q91)),1,0)</f>
        <v>0</v>
      </c>
      <c r="W86" s="126"/>
      <c r="X86" s="50"/>
      <c r="Y86" s="122" t="str">
        <f t="shared" ref="Y86:Y100" si="12">IF(ISBLANK($N91),"",IF(AND($Q$38="hoch",(OR($N91="Arbeitszimmer",$N91="Gästezimmer"))),10,IF(AND($Q$38="gering",(OR($N91="Arbeitszimmer",$N91="Gästezimmer"))),15,IF($Q$38="hoch",15,IF($Q$38="gering",20,0)))))</f>
        <v/>
      </c>
      <c r="Z86" s="50" t="str">
        <f>IF(ISBLANK($N91),"",IF(OR($N91="Arbeitszimmer",$N91="Gästezimmer",$N91="Esszimmer"),1.5,IF(OR($N91="Schlafzimmer",$N91="Kinderzimmer"),2,IF($N91="Wohnzimmer",3,0))))</f>
        <v/>
      </c>
      <c r="AA86" s="311" t="s">
        <v>466</v>
      </c>
      <c r="AB86" s="312">
        <v>1</v>
      </c>
      <c r="AC86" s="312">
        <v>1.5</v>
      </c>
      <c r="AD86" s="312">
        <v>2</v>
      </c>
      <c r="AE86" s="312">
        <v>2.5</v>
      </c>
      <c r="AF86" s="312">
        <v>3</v>
      </c>
      <c r="AH86" s="24">
        <f t="shared" si="3"/>
        <v>0</v>
      </c>
      <c r="AI86" s="24">
        <f t="shared" si="4"/>
        <v>0</v>
      </c>
      <c r="AJ86" s="24">
        <f t="shared" si="5"/>
        <v>0</v>
      </c>
      <c r="AK86" s="310" t="str">
        <f t="shared" si="6"/>
        <v/>
      </c>
      <c r="AL86" s="310" t="str">
        <f t="shared" si="7"/>
        <v/>
      </c>
      <c r="AM86" s="310" t="str">
        <f t="shared" si="8"/>
        <v/>
      </c>
      <c r="AN86" s="310" t="str">
        <f t="shared" si="9"/>
        <v/>
      </c>
      <c r="AO86" s="310" t="str">
        <f t="shared" si="10"/>
        <v/>
      </c>
    </row>
    <row r="87" spans="1:41" ht="12.95" customHeight="1" x14ac:dyDescent="0.2">
      <c r="A87" s="51"/>
      <c r="B87" s="50"/>
      <c r="C87" s="50"/>
      <c r="D87" s="50"/>
      <c r="E87" s="50"/>
      <c r="F87" s="50"/>
      <c r="G87" s="448"/>
      <c r="H87" s="50"/>
      <c r="I87" s="346"/>
      <c r="J87" s="347"/>
      <c r="K87" s="347"/>
      <c r="L87" s="316"/>
      <c r="M87" s="50"/>
      <c r="N87" s="380"/>
      <c r="O87" s="381"/>
      <c r="P87" s="50"/>
      <c r="Q87" s="176"/>
      <c r="R87" s="50"/>
      <c r="S87" s="56" t="s">
        <v>25</v>
      </c>
      <c r="V87" s="122">
        <f t="shared" si="11"/>
        <v>0</v>
      </c>
      <c r="W87" s="148" t="s">
        <v>318</v>
      </c>
      <c r="X87" s="50"/>
      <c r="Y87" s="122" t="str">
        <f t="shared" si="12"/>
        <v/>
      </c>
      <c r="Z87" s="50" t="str">
        <f>IF(ISBLANK($N92),"",IF(OR($N92="Arbeitszimmer",$N92="Gästezimmer",$N92="Esszimmer"),1.5,IF(OR($N92="Schlafzimmer",$N92="Kinderzimmer"),2,IF($N92="Wohnzimmer",3,0))))</f>
        <v/>
      </c>
      <c r="AA87" s="311" t="s">
        <v>321</v>
      </c>
      <c r="AB87" s="312">
        <v>2.5</v>
      </c>
      <c r="AC87" s="312">
        <v>3</v>
      </c>
      <c r="AD87" s="312">
        <v>3.5</v>
      </c>
      <c r="AE87" s="312"/>
      <c r="AF87" s="312"/>
      <c r="AH87" s="24">
        <f t="shared" si="3"/>
        <v>0</v>
      </c>
      <c r="AI87" s="24">
        <f t="shared" si="4"/>
        <v>0</v>
      </c>
      <c r="AJ87" s="24">
        <f t="shared" si="5"/>
        <v>0</v>
      </c>
      <c r="AK87" s="310" t="str">
        <f t="shared" si="6"/>
        <v/>
      </c>
      <c r="AL87" s="310" t="str">
        <f t="shared" si="7"/>
        <v/>
      </c>
      <c r="AM87" s="310" t="str">
        <f t="shared" si="8"/>
        <v/>
      </c>
      <c r="AN87" s="310" t="str">
        <f t="shared" si="9"/>
        <v/>
      </c>
      <c r="AO87" s="310" t="str">
        <f t="shared" si="10"/>
        <v/>
      </c>
    </row>
    <row r="88" spans="1:41" ht="12.95" customHeight="1" x14ac:dyDescent="0.2">
      <c r="A88" s="51"/>
      <c r="B88" s="50"/>
      <c r="C88" s="50"/>
      <c r="D88" s="50"/>
      <c r="E88" s="50"/>
      <c r="F88" s="50"/>
      <c r="G88" s="449"/>
      <c r="H88" s="54"/>
      <c r="I88" s="348"/>
      <c r="J88" s="349"/>
      <c r="K88" s="349"/>
      <c r="L88" s="318"/>
      <c r="M88" s="54"/>
      <c r="N88" s="472"/>
      <c r="O88" s="473"/>
      <c r="P88" s="54"/>
      <c r="Q88" s="177"/>
      <c r="R88" s="54"/>
      <c r="S88" s="59" t="s">
        <v>25</v>
      </c>
      <c r="V88" s="122">
        <f t="shared" si="11"/>
        <v>0</v>
      </c>
      <c r="W88" s="123"/>
      <c r="X88" s="50"/>
      <c r="Y88" s="122" t="str">
        <f t="shared" si="12"/>
        <v/>
      </c>
      <c r="Z88" s="50" t="str">
        <f t="shared" ref="Z88:Z100" si="13">IF(ISBLANK($N93),"",IF(OR($N93="Arbeitszimmer",$N93="Gästezimmer",$N93="Esszimmer"),1.5,IF(OR($N93="Schlafzimmer",$N93="Kinderzimmer"),2,IF($N93="Wohnzimmer",3,0))))</f>
        <v/>
      </c>
      <c r="AA88" s="311" t="s">
        <v>467</v>
      </c>
      <c r="AB88" s="312">
        <v>1</v>
      </c>
      <c r="AC88" s="312">
        <v>1.5</v>
      </c>
      <c r="AD88" s="312">
        <v>2</v>
      </c>
      <c r="AE88" s="312"/>
      <c r="AF88" s="312"/>
      <c r="AH88" s="24">
        <f t="shared" si="3"/>
        <v>0</v>
      </c>
      <c r="AI88" s="24">
        <f t="shared" si="4"/>
        <v>0</v>
      </c>
      <c r="AJ88" s="24">
        <f t="shared" si="5"/>
        <v>0</v>
      </c>
      <c r="AK88" s="310" t="str">
        <f t="shared" si="6"/>
        <v/>
      </c>
      <c r="AL88" s="310" t="str">
        <f t="shared" si="7"/>
        <v/>
      </c>
      <c r="AM88" s="310" t="str">
        <f t="shared" si="8"/>
        <v/>
      </c>
      <c r="AN88" s="310" t="str">
        <f t="shared" si="9"/>
        <v/>
      </c>
      <c r="AO88" s="310" t="str">
        <f t="shared" si="10"/>
        <v/>
      </c>
    </row>
    <row r="89" spans="1:41" s="5" customFormat="1" ht="15" customHeight="1" x14ac:dyDescent="0.2">
      <c r="A89" s="16"/>
      <c r="B89" s="17"/>
      <c r="C89" s="17"/>
      <c r="D89" s="17"/>
      <c r="E89" s="17"/>
      <c r="F89" s="17"/>
      <c r="G89" s="17"/>
      <c r="H89" s="17"/>
      <c r="I89" s="17"/>
      <c r="J89" s="17"/>
      <c r="K89" s="476" t="s">
        <v>325</v>
      </c>
      <c r="L89" s="383"/>
      <c r="M89" s="383"/>
      <c r="N89" s="383"/>
      <c r="O89" s="383"/>
      <c r="P89" s="243"/>
      <c r="Q89" s="244">
        <f>SUMIF(V69:V83,"1",Q74:Q88)</f>
        <v>0</v>
      </c>
      <c r="R89" s="243"/>
      <c r="S89" s="245" t="s">
        <v>25</v>
      </c>
      <c r="V89" s="168">
        <f t="shared" si="11"/>
        <v>0</v>
      </c>
      <c r="W89" s="242" t="s">
        <v>319</v>
      </c>
      <c r="X89" s="4"/>
      <c r="Y89" s="168" t="str">
        <f t="shared" si="12"/>
        <v/>
      </c>
      <c r="Z89" s="15" t="str">
        <f t="shared" si="13"/>
        <v/>
      </c>
      <c r="AA89" s="4"/>
      <c r="AB89" s="4"/>
      <c r="AC89" s="4"/>
      <c r="AH89" s="24">
        <f t="shared" si="3"/>
        <v>0</v>
      </c>
      <c r="AI89" s="24">
        <f t="shared" si="4"/>
        <v>0</v>
      </c>
      <c r="AJ89" s="24">
        <f t="shared" si="5"/>
        <v>0</v>
      </c>
      <c r="AK89" s="310" t="str">
        <f t="shared" si="6"/>
        <v/>
      </c>
      <c r="AL89" s="310" t="str">
        <f t="shared" si="7"/>
        <v/>
      </c>
      <c r="AM89" s="310" t="str">
        <f t="shared" si="8"/>
        <v/>
      </c>
      <c r="AN89" s="310" t="str">
        <f t="shared" si="9"/>
        <v/>
      </c>
      <c r="AO89" s="310" t="str">
        <f t="shared" si="10"/>
        <v/>
      </c>
    </row>
    <row r="90" spans="1:41" s="5" customFormat="1" ht="15" customHeight="1" x14ac:dyDescent="0.2">
      <c r="A90" s="37" t="s">
        <v>395</v>
      </c>
      <c r="B90" s="4"/>
      <c r="C90" s="4"/>
      <c r="D90" s="4"/>
      <c r="E90" s="4"/>
      <c r="F90" s="4"/>
      <c r="G90" s="4"/>
      <c r="H90" s="4"/>
      <c r="I90" s="454" t="s">
        <v>327</v>
      </c>
      <c r="J90" s="454"/>
      <c r="K90" s="454"/>
      <c r="L90" s="297" t="s">
        <v>473</v>
      </c>
      <c r="M90" s="33"/>
      <c r="N90" s="34" t="s">
        <v>307</v>
      </c>
      <c r="O90" s="34"/>
      <c r="P90" s="297" t="s">
        <v>465</v>
      </c>
      <c r="Q90" s="34" t="s">
        <v>308</v>
      </c>
      <c r="R90" s="4"/>
      <c r="S90" s="246"/>
      <c r="V90" s="168">
        <f t="shared" si="11"/>
        <v>0</v>
      </c>
      <c r="W90" s="242" t="s">
        <v>320</v>
      </c>
      <c r="X90" s="4"/>
      <c r="Y90" s="168" t="str">
        <f t="shared" si="12"/>
        <v/>
      </c>
      <c r="Z90" s="15" t="str">
        <f t="shared" si="13"/>
        <v/>
      </c>
      <c r="AA90" s="307" t="s">
        <v>480</v>
      </c>
      <c r="AB90" s="24"/>
      <c r="AC90" s="24"/>
      <c r="AD90" s="24"/>
      <c r="AE90" s="24"/>
      <c r="AF90" s="24"/>
      <c r="AH90" s="24"/>
      <c r="AI90" s="24"/>
      <c r="AJ90" s="24"/>
      <c r="AK90" s="310" t="str">
        <f t="shared" si="6"/>
        <v/>
      </c>
      <c r="AL90" s="310" t="str">
        <f t="shared" si="7"/>
        <v/>
      </c>
      <c r="AM90" s="310" t="str">
        <f t="shared" si="8"/>
        <v/>
      </c>
      <c r="AN90" s="310" t="str">
        <f t="shared" si="9"/>
        <v/>
      </c>
      <c r="AO90" s="24"/>
    </row>
    <row r="91" spans="1:41" s="5" customFormat="1" ht="12.95" customHeight="1" x14ac:dyDescent="0.2">
      <c r="A91" s="9"/>
      <c r="B91" s="4"/>
      <c r="C91" s="4"/>
      <c r="D91" s="4"/>
      <c r="E91" s="4"/>
      <c r="F91" s="4"/>
      <c r="G91" s="447" t="s">
        <v>317</v>
      </c>
      <c r="H91" s="11"/>
      <c r="I91" s="450"/>
      <c r="J91" s="451"/>
      <c r="K91" s="451"/>
      <c r="L91" s="315"/>
      <c r="M91" s="11"/>
      <c r="N91" s="474"/>
      <c r="O91" s="475"/>
      <c r="P91" s="321"/>
      <c r="Q91" s="247"/>
      <c r="R91" s="11"/>
      <c r="S91" s="248" t="s">
        <v>25</v>
      </c>
      <c r="V91" s="168">
        <f t="shared" si="11"/>
        <v>0</v>
      </c>
      <c r="W91" s="242" t="s">
        <v>321</v>
      </c>
      <c r="X91" s="4"/>
      <c r="Y91" s="168" t="str">
        <f t="shared" si="12"/>
        <v/>
      </c>
      <c r="Z91" s="15" t="str">
        <f t="shared" si="13"/>
        <v/>
      </c>
      <c r="AA91" s="24" t="s">
        <v>477</v>
      </c>
      <c r="AB91" s="26">
        <v>1.5</v>
      </c>
      <c r="AC91" s="26">
        <v>2</v>
      </c>
      <c r="AD91" s="26">
        <v>2.5</v>
      </c>
      <c r="AE91" s="26"/>
      <c r="AF91" s="26"/>
      <c r="AH91" s="24">
        <f>I91</f>
        <v>0</v>
      </c>
      <c r="AI91" s="24">
        <f>IF(L91="ja",Q91,0)</f>
        <v>0</v>
      </c>
      <c r="AJ91" s="24">
        <f>IF(L91="nein",Q91,0)</f>
        <v>0</v>
      </c>
      <c r="AK91" s="310" t="str">
        <f>IF(AND($L$108="Ausgabe freie Lüftung und Ausgabe vg R-LG",L91="ja"),IF(Q91&lt;10,10,Q91),"")</f>
        <v/>
      </c>
      <c r="AL91" s="310" t="str">
        <f t="shared" si="7"/>
        <v/>
      </c>
      <c r="AM91" s="310" t="str">
        <f t="shared" si="8"/>
        <v/>
      </c>
      <c r="AN91" s="310" t="str">
        <f t="shared" si="9"/>
        <v/>
      </c>
      <c r="AO91" s="24" t="str">
        <f>IF(AJ91=0,"",IF(AND($Q$38="hoch",(OR($N91="Arbeitszimmer",$N91="Gästezimmer"))),10,IF(AND($Q$38="gering",(OR($N91="Arbeitszimmer",$N91="Gästezimmer"))),15,IF($Q$38="hoch",15,IF($Q$38="gering",20,0)))))</f>
        <v/>
      </c>
    </row>
    <row r="92" spans="1:41" s="5" customFormat="1" ht="12.95" customHeight="1" x14ac:dyDescent="0.2">
      <c r="A92" s="9"/>
      <c r="B92" s="4"/>
      <c r="C92" s="4"/>
      <c r="D92" s="4"/>
      <c r="E92" s="4"/>
      <c r="F92" s="4"/>
      <c r="G92" s="448"/>
      <c r="H92" s="4"/>
      <c r="I92" s="452"/>
      <c r="J92" s="453"/>
      <c r="K92" s="453"/>
      <c r="L92" s="313"/>
      <c r="M92" s="4"/>
      <c r="N92" s="353"/>
      <c r="O92" s="354"/>
      <c r="P92" s="322"/>
      <c r="Q92" s="249"/>
      <c r="R92" s="4"/>
      <c r="S92" s="250" t="s">
        <v>25</v>
      </c>
      <c r="V92" s="168">
        <f t="shared" si="11"/>
        <v>0</v>
      </c>
      <c r="W92" s="242" t="s">
        <v>322</v>
      </c>
      <c r="X92" s="4"/>
      <c r="Y92" s="168" t="str">
        <f t="shared" si="12"/>
        <v/>
      </c>
      <c r="Z92" s="15" t="str">
        <f t="shared" si="13"/>
        <v/>
      </c>
      <c r="AA92" s="24" t="s">
        <v>478</v>
      </c>
      <c r="AB92" s="26">
        <v>2.5</v>
      </c>
      <c r="AC92" s="26">
        <v>3</v>
      </c>
      <c r="AD92" s="26">
        <v>3.5</v>
      </c>
      <c r="AE92" s="26"/>
      <c r="AF92" s="26"/>
      <c r="AH92" s="24">
        <f t="shared" ref="AH92:AH105" si="14">I92</f>
        <v>0</v>
      </c>
      <c r="AI92" s="24">
        <f t="shared" ref="AI92:AI105" si="15">IF(L92="ja",Q92,0)</f>
        <v>0</v>
      </c>
      <c r="AJ92" s="24">
        <f t="shared" ref="AJ92:AJ105" si="16">IF(L92="nein",Q92,0)</f>
        <v>0</v>
      </c>
      <c r="AK92" s="310" t="str">
        <f t="shared" ref="AK92:AK105" si="17">IF(AND($L$108="Ausgabe freie Lüftung und Ausgabe vg R-LG",L92="ja"),IF(Q92&lt;10,10,Q92),"")</f>
        <v/>
      </c>
      <c r="AL92" s="310" t="str">
        <f t="shared" si="7"/>
        <v/>
      </c>
      <c r="AM92" s="310" t="str">
        <f t="shared" si="8"/>
        <v/>
      </c>
      <c r="AN92" s="310" t="str">
        <f t="shared" si="9"/>
        <v/>
      </c>
      <c r="AO92" s="24" t="str">
        <f t="shared" ref="AO92:AO105" si="18">IF(AJ92=0,"",IF(AND($Q$38="hoch",(OR($N92="Arbeitszimmer",$N92="Gästezimmer"))),10,IF(AND($Q$38="gering",(OR($N92="Arbeitszimmer",$N92="Gästezimmer"))),15,IF($Q$38="hoch",15,IF($Q$38="gering",20,0)))))</f>
        <v/>
      </c>
    </row>
    <row r="93" spans="1:41" s="5" customFormat="1" ht="12.95" customHeight="1" x14ac:dyDescent="0.2">
      <c r="A93" s="9"/>
      <c r="B93" s="4"/>
      <c r="C93" s="4"/>
      <c r="D93" s="4"/>
      <c r="E93" s="4"/>
      <c r="F93" s="4"/>
      <c r="G93" s="448"/>
      <c r="H93" s="4"/>
      <c r="I93" s="452"/>
      <c r="J93" s="453"/>
      <c r="K93" s="453"/>
      <c r="L93" s="313"/>
      <c r="M93" s="4"/>
      <c r="N93" s="353"/>
      <c r="O93" s="354"/>
      <c r="P93" s="322"/>
      <c r="Q93" s="249"/>
      <c r="R93" s="4"/>
      <c r="S93" s="250" t="s">
        <v>25</v>
      </c>
      <c r="V93" s="168">
        <f t="shared" si="11"/>
        <v>0</v>
      </c>
      <c r="W93" s="242" t="s">
        <v>323</v>
      </c>
      <c r="X93" s="4"/>
      <c r="Y93" s="168" t="str">
        <f t="shared" si="12"/>
        <v/>
      </c>
      <c r="Z93" s="15" t="str">
        <f t="shared" si="13"/>
        <v/>
      </c>
      <c r="AA93" s="24" t="s">
        <v>479</v>
      </c>
      <c r="AB93" s="26">
        <v>4</v>
      </c>
      <c r="AC93" s="26">
        <v>4.5</v>
      </c>
      <c r="AD93" s="26">
        <v>5</v>
      </c>
      <c r="AE93" s="26">
        <v>5.5</v>
      </c>
      <c r="AF93" s="26">
        <v>6</v>
      </c>
      <c r="AH93" s="24">
        <f t="shared" si="14"/>
        <v>0</v>
      </c>
      <c r="AI93" s="24">
        <f t="shared" si="15"/>
        <v>0</v>
      </c>
      <c r="AJ93" s="24">
        <f t="shared" si="16"/>
        <v>0</v>
      </c>
      <c r="AK93" s="310" t="str">
        <f t="shared" si="17"/>
        <v/>
      </c>
      <c r="AL93" s="310" t="str">
        <f t="shared" si="7"/>
        <v/>
      </c>
      <c r="AM93" s="310" t="str">
        <f t="shared" si="8"/>
        <v/>
      </c>
      <c r="AN93" s="310" t="str">
        <f t="shared" si="9"/>
        <v/>
      </c>
      <c r="AO93" s="24" t="str">
        <f t="shared" si="18"/>
        <v/>
      </c>
    </row>
    <row r="94" spans="1:41" s="5" customFormat="1" ht="12.95" customHeight="1" x14ac:dyDescent="0.2">
      <c r="A94" s="9" t="str">
        <f>IF($L$108="Ausgabe freie Lüftung und Ausgabe vg R-LG","fR,EG auswählen","")</f>
        <v/>
      </c>
      <c r="B94" s="4"/>
      <c r="C94" s="4"/>
      <c r="D94" s="4"/>
      <c r="E94" s="4"/>
      <c r="F94" s="4"/>
      <c r="G94" s="448"/>
      <c r="H94" s="4"/>
      <c r="I94" s="452"/>
      <c r="J94" s="453"/>
      <c r="K94" s="453"/>
      <c r="L94" s="313"/>
      <c r="M94" s="4"/>
      <c r="N94" s="353"/>
      <c r="O94" s="354"/>
      <c r="P94" s="322"/>
      <c r="Q94" s="249"/>
      <c r="R94" s="4"/>
      <c r="S94" s="250" t="s">
        <v>25</v>
      </c>
      <c r="V94" s="168">
        <f t="shared" si="11"/>
        <v>0</v>
      </c>
      <c r="W94" s="251" t="s">
        <v>324</v>
      </c>
      <c r="X94" s="4"/>
      <c r="Y94" s="168" t="str">
        <f t="shared" si="12"/>
        <v/>
      </c>
      <c r="Z94" s="15" t="str">
        <f t="shared" si="13"/>
        <v/>
      </c>
      <c r="AA94" s="4"/>
      <c r="AB94" s="4"/>
      <c r="AC94" s="4"/>
      <c r="AH94" s="24">
        <f t="shared" si="14"/>
        <v>0</v>
      </c>
      <c r="AI94" s="24">
        <f t="shared" si="15"/>
        <v>0</v>
      </c>
      <c r="AJ94" s="24">
        <f t="shared" si="16"/>
        <v>0</v>
      </c>
      <c r="AK94" s="310" t="str">
        <f t="shared" si="17"/>
        <v/>
      </c>
      <c r="AL94" s="310" t="str">
        <f t="shared" si="7"/>
        <v/>
      </c>
      <c r="AM94" s="310" t="str">
        <f t="shared" si="8"/>
        <v/>
      </c>
      <c r="AN94" s="310" t="str">
        <f t="shared" si="9"/>
        <v/>
      </c>
      <c r="AO94" s="24" t="str">
        <f t="shared" si="18"/>
        <v/>
      </c>
    </row>
    <row r="95" spans="1:41" s="5" customFormat="1" ht="12.95" customHeight="1" x14ac:dyDescent="0.2">
      <c r="A95" s="9" t="str">
        <f>IF($L$108="Ausgabe freie Lüftung und Ausgabe vg R-LG","RL","")</f>
        <v/>
      </c>
      <c r="B95" s="324"/>
      <c r="C95" s="4"/>
      <c r="D95" s="4"/>
      <c r="E95" s="4"/>
      <c r="F95" s="4"/>
      <c r="G95" s="448"/>
      <c r="H95" s="4"/>
      <c r="I95" s="452"/>
      <c r="J95" s="453"/>
      <c r="K95" s="453"/>
      <c r="L95" s="313"/>
      <c r="M95" s="4"/>
      <c r="N95" s="353"/>
      <c r="O95" s="354"/>
      <c r="P95" s="322"/>
      <c r="Q95" s="249"/>
      <c r="R95" s="4"/>
      <c r="S95" s="250" t="s">
        <v>25</v>
      </c>
      <c r="V95" s="168">
        <f t="shared" si="11"/>
        <v>0</v>
      </c>
      <c r="W95" s="138"/>
      <c r="X95" s="4"/>
      <c r="Y95" s="168" t="str">
        <f t="shared" si="12"/>
        <v/>
      </c>
      <c r="Z95" s="15" t="str">
        <f t="shared" si="13"/>
        <v/>
      </c>
      <c r="AA95" s="307" t="s">
        <v>469</v>
      </c>
      <c r="AB95" s="27" t="e">
        <f>AI106/I41</f>
        <v>#DIV/0!</v>
      </c>
      <c r="AC95" s="78"/>
      <c r="AD95" s="78"/>
      <c r="AE95" s="78"/>
      <c r="AH95" s="24">
        <f t="shared" si="14"/>
        <v>0</v>
      </c>
      <c r="AI95" s="24">
        <f t="shared" si="15"/>
        <v>0</v>
      </c>
      <c r="AJ95" s="24">
        <f t="shared" si="16"/>
        <v>0</v>
      </c>
      <c r="AK95" s="310" t="str">
        <f t="shared" si="17"/>
        <v/>
      </c>
      <c r="AL95" s="310" t="str">
        <f t="shared" si="7"/>
        <v/>
      </c>
      <c r="AM95" s="310" t="str">
        <f t="shared" si="8"/>
        <v/>
      </c>
      <c r="AN95" s="310" t="str">
        <f t="shared" si="9"/>
        <v/>
      </c>
      <c r="AO95" s="24" t="str">
        <f t="shared" si="18"/>
        <v/>
      </c>
    </row>
    <row r="96" spans="1:41" s="5" customFormat="1" ht="12.95" customHeight="1" x14ac:dyDescent="0.2">
      <c r="A96" s="9" t="str">
        <f>IF($L$108="Ausgabe freie Lüftung und Ausgabe vg R-LG","NL","")</f>
        <v/>
      </c>
      <c r="B96" s="324"/>
      <c r="C96" s="4"/>
      <c r="D96" s="4"/>
      <c r="E96" s="4"/>
      <c r="F96" s="4"/>
      <c r="G96" s="448"/>
      <c r="H96" s="4"/>
      <c r="I96" s="452"/>
      <c r="J96" s="453"/>
      <c r="K96" s="453"/>
      <c r="L96" s="313"/>
      <c r="M96" s="4"/>
      <c r="N96" s="353"/>
      <c r="O96" s="354"/>
      <c r="P96" s="322"/>
      <c r="Q96" s="249"/>
      <c r="R96" s="4"/>
      <c r="S96" s="250" t="s">
        <v>25</v>
      </c>
      <c r="V96" s="168">
        <f t="shared" si="11"/>
        <v>0</v>
      </c>
      <c r="W96" s="138"/>
      <c r="X96" s="4"/>
      <c r="Y96" s="168" t="str">
        <f t="shared" si="12"/>
        <v/>
      </c>
      <c r="Z96" s="15" t="str">
        <f t="shared" si="13"/>
        <v/>
      </c>
      <c r="AA96" s="4"/>
      <c r="AB96" s="4"/>
      <c r="AC96" s="4"/>
      <c r="AD96" s="4"/>
      <c r="AE96" s="4"/>
      <c r="AH96" s="24">
        <f t="shared" si="14"/>
        <v>0</v>
      </c>
      <c r="AI96" s="24">
        <f t="shared" si="15"/>
        <v>0</v>
      </c>
      <c r="AJ96" s="24">
        <f t="shared" si="16"/>
        <v>0</v>
      </c>
      <c r="AK96" s="310" t="str">
        <f t="shared" si="17"/>
        <v/>
      </c>
      <c r="AL96" s="310" t="str">
        <f t="shared" si="7"/>
        <v/>
      </c>
      <c r="AM96" s="310" t="str">
        <f t="shared" si="8"/>
        <v/>
      </c>
      <c r="AN96" s="310" t="str">
        <f t="shared" si="9"/>
        <v/>
      </c>
      <c r="AO96" s="24" t="str">
        <f t="shared" si="18"/>
        <v/>
      </c>
    </row>
    <row r="97" spans="1:41" s="5" customFormat="1" ht="12.95" customHeight="1" x14ac:dyDescent="0.2">
      <c r="A97" s="9" t="str">
        <f>IF($L$108="Ausgabe freie Lüftung und Ausgabe vg R-LG","IL","")</f>
        <v/>
      </c>
      <c r="B97" s="324"/>
      <c r="C97" s="4"/>
      <c r="D97" s="4"/>
      <c r="E97" s="4"/>
      <c r="F97" s="4"/>
      <c r="G97" s="448"/>
      <c r="H97" s="4"/>
      <c r="I97" s="358"/>
      <c r="J97" s="359"/>
      <c r="K97" s="359"/>
      <c r="L97" s="313"/>
      <c r="M97" s="4"/>
      <c r="N97" s="353"/>
      <c r="O97" s="354"/>
      <c r="P97" s="322"/>
      <c r="Q97" s="249"/>
      <c r="R97" s="4"/>
      <c r="S97" s="250" t="s">
        <v>25</v>
      </c>
      <c r="V97" s="168">
        <f t="shared" si="11"/>
        <v>0</v>
      </c>
      <c r="W97" s="138"/>
      <c r="X97" s="4"/>
      <c r="Y97" s="168" t="str">
        <f t="shared" si="12"/>
        <v/>
      </c>
      <c r="Z97" s="15" t="str">
        <f t="shared" si="13"/>
        <v/>
      </c>
      <c r="AA97" s="78" t="s">
        <v>474</v>
      </c>
      <c r="AB97" s="78" t="s">
        <v>45</v>
      </c>
      <c r="AC97" s="4"/>
      <c r="AD97" s="4"/>
      <c r="AE97" s="4"/>
      <c r="AH97" s="24">
        <f t="shared" si="14"/>
        <v>0</v>
      </c>
      <c r="AI97" s="24">
        <f t="shared" si="15"/>
        <v>0</v>
      </c>
      <c r="AJ97" s="24">
        <f t="shared" si="16"/>
        <v>0</v>
      </c>
      <c r="AK97" s="310" t="str">
        <f t="shared" si="17"/>
        <v/>
      </c>
      <c r="AL97" s="310" t="str">
        <f t="shared" si="7"/>
        <v/>
      </c>
      <c r="AM97" s="310" t="str">
        <f t="shared" si="8"/>
        <v/>
      </c>
      <c r="AN97" s="310" t="str">
        <f t="shared" si="9"/>
        <v/>
      </c>
      <c r="AO97" s="24" t="str">
        <f t="shared" si="18"/>
        <v/>
      </c>
    </row>
    <row r="98" spans="1:41" s="5" customFormat="1" ht="12.95" customHeight="1" x14ac:dyDescent="0.2">
      <c r="A98" s="9"/>
      <c r="B98" s="4"/>
      <c r="C98" s="4"/>
      <c r="D98" s="4"/>
      <c r="E98" s="4"/>
      <c r="F98" s="4"/>
      <c r="G98" s="448"/>
      <c r="H98" s="4"/>
      <c r="I98" s="358"/>
      <c r="J98" s="359"/>
      <c r="K98" s="359"/>
      <c r="L98" s="313"/>
      <c r="M98" s="4"/>
      <c r="N98" s="353"/>
      <c r="O98" s="354"/>
      <c r="P98" s="322"/>
      <c r="Q98" s="249"/>
      <c r="R98" s="4"/>
      <c r="S98" s="250" t="s">
        <v>25</v>
      </c>
      <c r="V98" s="168">
        <f t="shared" si="11"/>
        <v>0</v>
      </c>
      <c r="W98" s="138"/>
      <c r="X98" s="4"/>
      <c r="Y98" s="168" t="str">
        <f t="shared" si="12"/>
        <v/>
      </c>
      <c r="Z98" s="15" t="str">
        <f t="shared" si="13"/>
        <v/>
      </c>
      <c r="AA98" s="4"/>
      <c r="AB98" s="78" t="s">
        <v>46</v>
      </c>
      <c r="AC98" s="4"/>
      <c r="AD98" s="4"/>
      <c r="AE98" s="4"/>
      <c r="AH98" s="24">
        <f t="shared" si="14"/>
        <v>0</v>
      </c>
      <c r="AI98" s="24">
        <f t="shared" si="15"/>
        <v>0</v>
      </c>
      <c r="AJ98" s="24">
        <f t="shared" si="16"/>
        <v>0</v>
      </c>
      <c r="AK98" s="310" t="str">
        <f t="shared" si="17"/>
        <v/>
      </c>
      <c r="AL98" s="310" t="str">
        <f t="shared" si="7"/>
        <v/>
      </c>
      <c r="AM98" s="310" t="str">
        <f t="shared" si="8"/>
        <v/>
      </c>
      <c r="AN98" s="310" t="str">
        <f t="shared" si="9"/>
        <v/>
      </c>
      <c r="AO98" s="24" t="str">
        <f t="shared" si="18"/>
        <v/>
      </c>
    </row>
    <row r="99" spans="1:41" s="5" customFormat="1" ht="12.95" customHeight="1" x14ac:dyDescent="0.2">
      <c r="A99" s="9"/>
      <c r="B99" s="4"/>
      <c r="C99" s="4"/>
      <c r="D99" s="4"/>
      <c r="E99" s="4"/>
      <c r="F99" s="4"/>
      <c r="G99" s="448"/>
      <c r="H99" s="4"/>
      <c r="I99" s="358"/>
      <c r="J99" s="359"/>
      <c r="K99" s="359"/>
      <c r="L99" s="313"/>
      <c r="M99" s="4"/>
      <c r="N99" s="353"/>
      <c r="O99" s="354"/>
      <c r="P99" s="322"/>
      <c r="Q99" s="249"/>
      <c r="R99" s="4"/>
      <c r="S99" s="250" t="s">
        <v>25</v>
      </c>
      <c r="V99" s="168">
        <f t="shared" si="11"/>
        <v>0</v>
      </c>
      <c r="W99" s="138"/>
      <c r="X99" s="4"/>
      <c r="Y99" s="168" t="str">
        <f t="shared" si="12"/>
        <v/>
      </c>
      <c r="Z99" s="15" t="str">
        <f t="shared" si="13"/>
        <v/>
      </c>
      <c r="AA99" s="4"/>
      <c r="AB99" s="4"/>
      <c r="AC99" s="4"/>
      <c r="AD99" s="4"/>
      <c r="AE99" s="4"/>
      <c r="AH99" s="24">
        <f t="shared" si="14"/>
        <v>0</v>
      </c>
      <c r="AI99" s="24">
        <f t="shared" si="15"/>
        <v>0</v>
      </c>
      <c r="AJ99" s="24">
        <f t="shared" si="16"/>
        <v>0</v>
      </c>
      <c r="AK99" s="310" t="str">
        <f t="shared" si="17"/>
        <v/>
      </c>
      <c r="AL99" s="310" t="str">
        <f t="shared" si="7"/>
        <v/>
      </c>
      <c r="AM99" s="310" t="str">
        <f t="shared" si="8"/>
        <v/>
      </c>
      <c r="AN99" s="310" t="str">
        <f t="shared" si="9"/>
        <v/>
      </c>
      <c r="AO99" s="24" t="str">
        <f t="shared" si="18"/>
        <v/>
      </c>
    </row>
    <row r="100" spans="1:41" s="5" customFormat="1" ht="12.95" customHeight="1" thickBot="1" x14ac:dyDescent="0.25">
      <c r="A100" s="9"/>
      <c r="B100" s="4"/>
      <c r="C100" s="4"/>
      <c r="D100" s="4"/>
      <c r="E100" s="4"/>
      <c r="F100" s="4"/>
      <c r="G100" s="448"/>
      <c r="H100" s="4"/>
      <c r="I100" s="358"/>
      <c r="J100" s="359"/>
      <c r="K100" s="359"/>
      <c r="L100" s="313"/>
      <c r="M100" s="4"/>
      <c r="N100" s="353"/>
      <c r="O100" s="354"/>
      <c r="P100" s="322"/>
      <c r="Q100" s="249"/>
      <c r="R100" s="4"/>
      <c r="S100" s="250" t="s">
        <v>25</v>
      </c>
      <c r="V100" s="171">
        <f t="shared" si="11"/>
        <v>0</v>
      </c>
      <c r="W100" s="143"/>
      <c r="X100" s="4"/>
      <c r="Y100" s="168" t="str">
        <f t="shared" si="12"/>
        <v/>
      </c>
      <c r="Z100" s="15" t="str">
        <f t="shared" si="13"/>
        <v/>
      </c>
      <c r="AA100" s="4"/>
      <c r="AB100" s="4"/>
      <c r="AC100" s="4"/>
      <c r="AD100" s="4"/>
      <c r="AE100" s="4"/>
      <c r="AH100" s="24">
        <f t="shared" si="14"/>
        <v>0</v>
      </c>
      <c r="AI100" s="24">
        <f t="shared" si="15"/>
        <v>0</v>
      </c>
      <c r="AJ100" s="24">
        <f t="shared" si="16"/>
        <v>0</v>
      </c>
      <c r="AK100" s="310" t="str">
        <f t="shared" si="17"/>
        <v/>
      </c>
      <c r="AL100" s="310" t="str">
        <f t="shared" si="7"/>
        <v/>
      </c>
      <c r="AM100" s="310" t="str">
        <f t="shared" si="8"/>
        <v/>
      </c>
      <c r="AN100" s="310" t="str">
        <f t="shared" si="9"/>
        <v/>
      </c>
      <c r="AO100" s="24" t="str">
        <f t="shared" si="18"/>
        <v/>
      </c>
    </row>
    <row r="101" spans="1:41" s="5" customFormat="1" ht="12.95" customHeight="1" thickBot="1" x14ac:dyDescent="0.25">
      <c r="A101" s="9"/>
      <c r="B101" s="4"/>
      <c r="C101" s="4"/>
      <c r="D101" s="4"/>
      <c r="E101" s="4"/>
      <c r="F101" s="4"/>
      <c r="G101" s="448"/>
      <c r="H101" s="4"/>
      <c r="I101" s="358"/>
      <c r="J101" s="359"/>
      <c r="K101" s="359"/>
      <c r="L101" s="313"/>
      <c r="M101" s="4"/>
      <c r="N101" s="353"/>
      <c r="O101" s="354"/>
      <c r="P101" s="322"/>
      <c r="Q101" s="249"/>
      <c r="R101" s="4"/>
      <c r="S101" s="250" t="s">
        <v>25</v>
      </c>
      <c r="V101" s="140"/>
      <c r="W101" s="142"/>
      <c r="X101" s="142"/>
      <c r="Y101" s="158">
        <f>SUM(Y86:Y100)</f>
        <v>0</v>
      </c>
      <c r="Z101" s="158">
        <f>SUM(P91:P105)</f>
        <v>0</v>
      </c>
      <c r="AA101" s="4"/>
      <c r="AB101" s="4"/>
      <c r="AC101" s="4"/>
      <c r="AD101" s="4"/>
      <c r="AE101" s="4"/>
      <c r="AH101" s="24">
        <f t="shared" si="14"/>
        <v>0</v>
      </c>
      <c r="AI101" s="24">
        <f t="shared" si="15"/>
        <v>0</v>
      </c>
      <c r="AJ101" s="24">
        <f t="shared" si="16"/>
        <v>0</v>
      </c>
      <c r="AK101" s="310" t="str">
        <f t="shared" si="17"/>
        <v/>
      </c>
      <c r="AL101" s="310" t="str">
        <f t="shared" si="7"/>
        <v/>
      </c>
      <c r="AM101" s="310" t="str">
        <f t="shared" si="8"/>
        <v/>
      </c>
      <c r="AN101" s="310" t="str">
        <f t="shared" si="9"/>
        <v/>
      </c>
      <c r="AO101" s="24" t="str">
        <f t="shared" si="18"/>
        <v/>
      </c>
    </row>
    <row r="102" spans="1:41" s="5" customFormat="1" ht="12.95" customHeight="1" x14ac:dyDescent="0.2">
      <c r="A102" s="9"/>
      <c r="B102" s="4"/>
      <c r="C102" s="4"/>
      <c r="D102" s="4"/>
      <c r="E102" s="4"/>
      <c r="F102" s="4"/>
      <c r="G102" s="448"/>
      <c r="H102" s="4"/>
      <c r="I102" s="358"/>
      <c r="J102" s="359"/>
      <c r="K102" s="359"/>
      <c r="L102" s="313"/>
      <c r="M102" s="4"/>
      <c r="N102" s="353"/>
      <c r="O102" s="354"/>
      <c r="P102" s="322"/>
      <c r="Q102" s="249"/>
      <c r="R102" s="4"/>
      <c r="S102" s="250" t="s">
        <v>25</v>
      </c>
      <c r="Y102" s="4"/>
      <c r="AA102" s="4"/>
      <c r="AB102" s="4"/>
      <c r="AC102" s="4"/>
      <c r="AD102" s="4"/>
      <c r="AE102" s="4"/>
      <c r="AH102" s="24">
        <f t="shared" si="14"/>
        <v>0</v>
      </c>
      <c r="AI102" s="24">
        <f t="shared" si="15"/>
        <v>0</v>
      </c>
      <c r="AJ102" s="24">
        <f t="shared" si="16"/>
        <v>0</v>
      </c>
      <c r="AK102" s="310" t="str">
        <f t="shared" si="17"/>
        <v/>
      </c>
      <c r="AL102" s="310" t="str">
        <f t="shared" si="7"/>
        <v/>
      </c>
      <c r="AM102" s="310" t="str">
        <f t="shared" si="8"/>
        <v/>
      </c>
      <c r="AN102" s="310" t="str">
        <f t="shared" si="9"/>
        <v/>
      </c>
      <c r="AO102" s="24" t="str">
        <f t="shared" si="18"/>
        <v/>
      </c>
    </row>
    <row r="103" spans="1:41" s="5" customFormat="1" ht="12.95" customHeight="1" x14ac:dyDescent="0.2">
      <c r="A103" s="9"/>
      <c r="B103" s="4"/>
      <c r="C103" s="4"/>
      <c r="D103" s="4"/>
      <c r="E103" s="4"/>
      <c r="F103" s="4"/>
      <c r="G103" s="448"/>
      <c r="H103" s="4"/>
      <c r="I103" s="358"/>
      <c r="J103" s="359"/>
      <c r="K103" s="359"/>
      <c r="L103" s="313"/>
      <c r="M103" s="4"/>
      <c r="N103" s="353"/>
      <c r="O103" s="354"/>
      <c r="P103" s="322"/>
      <c r="Q103" s="249"/>
      <c r="R103" s="4"/>
      <c r="S103" s="250" t="s">
        <v>25</v>
      </c>
      <c r="AA103" s="4"/>
      <c r="AB103" s="4"/>
      <c r="AC103" s="4"/>
      <c r="AD103" s="4"/>
      <c r="AE103" s="4"/>
      <c r="AH103" s="24">
        <f t="shared" si="14"/>
        <v>0</v>
      </c>
      <c r="AI103" s="24">
        <f t="shared" si="15"/>
        <v>0</v>
      </c>
      <c r="AJ103" s="24">
        <f t="shared" si="16"/>
        <v>0</v>
      </c>
      <c r="AK103" s="310" t="str">
        <f t="shared" si="17"/>
        <v/>
      </c>
      <c r="AL103" s="310" t="str">
        <f t="shared" si="7"/>
        <v/>
      </c>
      <c r="AM103" s="310" t="str">
        <f t="shared" si="8"/>
        <v/>
      </c>
      <c r="AN103" s="310" t="str">
        <f t="shared" si="9"/>
        <v/>
      </c>
      <c r="AO103" s="24" t="str">
        <f t="shared" si="18"/>
        <v/>
      </c>
    </row>
    <row r="104" spans="1:41" s="5" customFormat="1" ht="12.95" customHeight="1" x14ac:dyDescent="0.2">
      <c r="A104" s="9"/>
      <c r="B104" s="4"/>
      <c r="C104" s="4"/>
      <c r="D104" s="4"/>
      <c r="E104" s="4"/>
      <c r="F104" s="4"/>
      <c r="G104" s="448"/>
      <c r="H104" s="4"/>
      <c r="I104" s="358"/>
      <c r="J104" s="359"/>
      <c r="K104" s="359"/>
      <c r="L104" s="313"/>
      <c r="M104" s="4"/>
      <c r="N104" s="353"/>
      <c r="O104" s="354"/>
      <c r="P104" s="322"/>
      <c r="Q104" s="249"/>
      <c r="R104" s="4"/>
      <c r="S104" s="250" t="s">
        <v>25</v>
      </c>
      <c r="AA104" s="4"/>
      <c r="AB104" s="4"/>
      <c r="AC104" s="4"/>
      <c r="AD104" s="4"/>
      <c r="AE104" s="4"/>
      <c r="AH104" s="24">
        <f t="shared" si="14"/>
        <v>0</v>
      </c>
      <c r="AI104" s="24">
        <f t="shared" si="15"/>
        <v>0</v>
      </c>
      <c r="AJ104" s="24">
        <f t="shared" si="16"/>
        <v>0</v>
      </c>
      <c r="AK104" s="310" t="str">
        <f t="shared" si="17"/>
        <v/>
      </c>
      <c r="AL104" s="310" t="str">
        <f t="shared" si="7"/>
        <v/>
      </c>
      <c r="AM104" s="310" t="str">
        <f t="shared" si="8"/>
        <v/>
      </c>
      <c r="AN104" s="310" t="str">
        <f t="shared" si="9"/>
        <v/>
      </c>
      <c r="AO104" s="24" t="str">
        <f t="shared" si="18"/>
        <v/>
      </c>
    </row>
    <row r="105" spans="1:41" s="5" customFormat="1" ht="12.95" customHeight="1" thickBot="1" x14ac:dyDescent="0.25">
      <c r="A105" s="9"/>
      <c r="B105" s="4"/>
      <c r="C105" s="4"/>
      <c r="D105" s="4"/>
      <c r="E105" s="4"/>
      <c r="F105" s="4"/>
      <c r="G105" s="449"/>
      <c r="H105" s="17"/>
      <c r="I105" s="360"/>
      <c r="J105" s="361"/>
      <c r="K105" s="361"/>
      <c r="L105" s="314"/>
      <c r="M105" s="17"/>
      <c r="N105" s="386"/>
      <c r="O105" s="387"/>
      <c r="P105" s="323"/>
      <c r="Q105" s="252"/>
      <c r="R105" s="17"/>
      <c r="S105" s="253" t="s">
        <v>25</v>
      </c>
      <c r="AA105" s="4"/>
      <c r="AB105" s="4"/>
      <c r="AC105" s="4"/>
      <c r="AD105" s="4"/>
      <c r="AE105" s="4"/>
      <c r="AH105" s="24">
        <f t="shared" si="14"/>
        <v>0</v>
      </c>
      <c r="AI105" s="24">
        <f t="shared" si="15"/>
        <v>0</v>
      </c>
      <c r="AJ105" s="24">
        <f t="shared" si="16"/>
        <v>0</v>
      </c>
      <c r="AK105" s="310" t="str">
        <f t="shared" si="17"/>
        <v/>
      </c>
      <c r="AL105" s="310" t="str">
        <f t="shared" si="7"/>
        <v/>
      </c>
      <c r="AM105" s="310" t="str">
        <f t="shared" si="8"/>
        <v/>
      </c>
      <c r="AN105" s="310" t="str">
        <f t="shared" si="9"/>
        <v/>
      </c>
      <c r="AO105" s="24" t="str">
        <f t="shared" si="18"/>
        <v/>
      </c>
    </row>
    <row r="106" spans="1:41" s="5" customFormat="1" ht="15" customHeight="1" x14ac:dyDescent="0.2">
      <c r="A106" s="16"/>
      <c r="B106" s="17"/>
      <c r="C106" s="17"/>
      <c r="D106" s="17"/>
      <c r="E106" s="17"/>
      <c r="F106" s="17"/>
      <c r="G106" s="17"/>
      <c r="H106" s="17"/>
      <c r="I106" s="17"/>
      <c r="J106" s="17"/>
      <c r="K106" s="382" t="s">
        <v>326</v>
      </c>
      <c r="L106" s="383"/>
      <c r="M106" s="384"/>
      <c r="N106" s="384"/>
      <c r="O106" s="384"/>
      <c r="P106" s="243"/>
      <c r="Q106" s="244">
        <f>SUMIF(V86:V100,"1",Q91:Q105)</f>
        <v>0</v>
      </c>
      <c r="R106" s="243"/>
      <c r="S106" s="245" t="s">
        <v>25</v>
      </c>
      <c r="V106" s="190"/>
      <c r="W106" s="134" t="s">
        <v>57</v>
      </c>
      <c r="X106" s="135"/>
      <c r="Y106" s="135"/>
      <c r="Z106" s="305"/>
      <c r="AA106" s="4"/>
      <c r="AB106" s="4"/>
      <c r="AC106" s="4"/>
      <c r="AD106" s="4"/>
      <c r="AE106" s="4"/>
      <c r="AH106" s="307" t="s">
        <v>475</v>
      </c>
      <c r="AI106" s="24">
        <f>SUM(AI75:AI105)</f>
        <v>0</v>
      </c>
      <c r="AJ106" s="24">
        <f>SUM(AJ75:AJ105)</f>
        <v>0</v>
      </c>
      <c r="AK106" s="24">
        <f t="shared" ref="AK106:AL106" si="19">SUM(AK75:AK105)</f>
        <v>0</v>
      </c>
      <c r="AL106" s="24">
        <f t="shared" si="19"/>
        <v>0</v>
      </c>
      <c r="AM106" s="24">
        <f t="shared" ref="AM106" si="20">SUM(AM75:AM105)</f>
        <v>0</v>
      </c>
      <c r="AN106" s="24">
        <f t="shared" ref="AN106:AO106" si="21">SUM(AN75:AN105)</f>
        <v>0</v>
      </c>
      <c r="AO106" s="24">
        <f t="shared" si="21"/>
        <v>0</v>
      </c>
    </row>
    <row r="107" spans="1:41" ht="9.9499999999999993" customHeight="1" x14ac:dyDescent="0.2">
      <c r="A107" s="50"/>
      <c r="B107" s="50"/>
      <c r="C107" s="50"/>
      <c r="D107" s="50"/>
      <c r="E107" s="50"/>
      <c r="F107" s="50"/>
      <c r="G107" s="50"/>
      <c r="H107" s="50"/>
      <c r="I107" s="50"/>
      <c r="J107" s="50"/>
      <c r="K107" s="49"/>
      <c r="L107" s="49"/>
      <c r="M107" s="49"/>
      <c r="N107" s="49"/>
      <c r="O107" s="49"/>
      <c r="P107" s="57"/>
      <c r="Q107" s="71"/>
      <c r="R107" s="57"/>
      <c r="S107" s="72"/>
      <c r="V107" s="131"/>
      <c r="W107" s="149" t="s">
        <v>333</v>
      </c>
      <c r="X107" s="19"/>
      <c r="Y107" s="64" t="s">
        <v>432</v>
      </c>
      <c r="Z107" s="150"/>
      <c r="AC107" s="4"/>
      <c r="AD107" s="4"/>
      <c r="AE107" s="4"/>
      <c r="AH107" s="4"/>
      <c r="AI107" t="s">
        <v>487</v>
      </c>
      <c r="AJ107" s="325">
        <f>I41-AI106</f>
        <v>0</v>
      </c>
    </row>
    <row r="108" spans="1:41" ht="18" customHeight="1" x14ac:dyDescent="0.2">
      <c r="A108" s="227"/>
      <c r="B108" s="227"/>
      <c r="C108" s="227"/>
      <c r="D108" s="227"/>
      <c r="E108" s="227"/>
      <c r="F108" s="227"/>
      <c r="G108" s="227"/>
      <c r="H108" s="227"/>
      <c r="I108" s="306" t="s">
        <v>468</v>
      </c>
      <c r="J108" s="227"/>
      <c r="K108" s="227"/>
      <c r="L108" s="227" t="str">
        <f>IF(N33="","",IF(N63="freie Lüftung","Ausgabe freie Lüftung",IF(AND(N63="ventilatorgestützte Lüftung",OR(AB95=0,AB95&gt;0.33)),"Ausgabe vg Lüftung","Ausgabe freie Lüftung und Ausgabe vg R-LG")))</f>
        <v/>
      </c>
      <c r="M108" s="227"/>
      <c r="N108" s="227"/>
      <c r="O108" s="227"/>
      <c r="P108" s="227"/>
      <c r="Q108" s="227"/>
      <c r="R108" s="227"/>
      <c r="S108" s="227"/>
      <c r="V108" s="131"/>
      <c r="W108" s="137" t="s">
        <v>335</v>
      </c>
      <c r="X108" s="62" t="str">
        <f>IF($L$108="Ausgabe freie Lüftung und Ausgabe vg R-LG",AO108,$N$56)</f>
        <v>-</v>
      </c>
      <c r="Y108" s="37" t="s">
        <v>341</v>
      </c>
      <c r="Z108" s="153">
        <f>MAX((-0.001*$X$56^2+1.15*$X$56+20),(55))</f>
        <v>55</v>
      </c>
      <c r="AC108" s="4"/>
      <c r="AD108" s="4"/>
      <c r="AE108" s="4"/>
      <c r="AH108" s="4"/>
      <c r="AN108" s="307" t="s">
        <v>485</v>
      </c>
      <c r="AO108" s="311">
        <f>$X$57*(-0.001*AJ107^2+1.15*AJ107+20)</f>
        <v>0</v>
      </c>
    </row>
    <row r="109" spans="1:41" ht="9.9499999999999993" customHeight="1" x14ac:dyDescent="0.2">
      <c r="A109" s="228"/>
      <c r="B109" s="227"/>
      <c r="C109" s="227"/>
      <c r="D109" s="227"/>
      <c r="E109" s="227"/>
      <c r="F109" s="227"/>
      <c r="G109" s="227"/>
      <c r="H109" s="227"/>
      <c r="I109" s="227"/>
      <c r="J109" s="227"/>
      <c r="K109" s="227"/>
      <c r="L109" s="227"/>
      <c r="M109" s="227"/>
      <c r="N109" s="227"/>
      <c r="O109" s="227"/>
      <c r="P109" s="227"/>
      <c r="Q109" s="227"/>
      <c r="R109" s="227"/>
      <c r="S109" s="227"/>
      <c r="V109" s="131" t="s">
        <v>301</v>
      </c>
      <c r="W109" s="151" t="s">
        <v>337</v>
      </c>
      <c r="X109" s="45">
        <f>IF($L$108="Ausgabe freie Lüftung und Ausgabe vg R-LG",AO109,0.5*($Y$84+$Y$101))</f>
        <v>0</v>
      </c>
      <c r="Y109" s="63" t="s">
        <v>430</v>
      </c>
      <c r="Z109" s="153">
        <f>$Z$84</f>
        <v>0</v>
      </c>
      <c r="AC109" s="4"/>
      <c r="AD109" s="4"/>
      <c r="AE109" s="4"/>
      <c r="AH109" s="4"/>
      <c r="AN109" s="307" t="s">
        <v>337</v>
      </c>
      <c r="AO109" s="310">
        <f>0.5*AO106</f>
        <v>0</v>
      </c>
    </row>
    <row r="110" spans="1:41" ht="18" customHeight="1" x14ac:dyDescent="0.2">
      <c r="A110" s="227"/>
      <c r="B110" s="227"/>
      <c r="C110" s="227"/>
      <c r="D110" s="227"/>
      <c r="E110" s="227"/>
      <c r="F110" s="227"/>
      <c r="G110" s="227"/>
      <c r="H110" s="227"/>
      <c r="I110" s="227"/>
      <c r="J110" s="227"/>
      <c r="K110" s="227"/>
      <c r="L110" s="227"/>
      <c r="M110" s="227"/>
      <c r="N110" s="227"/>
      <c r="O110" s="227"/>
      <c r="P110" s="227"/>
      <c r="Q110" s="227"/>
      <c r="R110" s="227"/>
      <c r="S110" s="227"/>
      <c r="V110" s="131" t="s">
        <v>303</v>
      </c>
      <c r="W110" s="152" t="s">
        <v>338</v>
      </c>
      <c r="X110" s="45">
        <f>$Y$84</f>
        <v>0</v>
      </c>
      <c r="Y110" s="37" t="s">
        <v>344</v>
      </c>
      <c r="Z110" s="153">
        <f>MAX($Z$108,$Z$109)</f>
        <v>55</v>
      </c>
      <c r="AC110" s="4"/>
      <c r="AD110" s="4"/>
      <c r="AE110" s="4"/>
      <c r="AH110" s="4"/>
    </row>
    <row r="111" spans="1:41" ht="9.9499999999999993" customHeight="1" x14ac:dyDescent="0.2">
      <c r="A111" s="228"/>
      <c r="B111" s="73"/>
      <c r="C111" s="73"/>
      <c r="D111" s="356"/>
      <c r="E111" s="356"/>
      <c r="F111" s="356"/>
      <c r="G111" s="356"/>
      <c r="H111" s="356"/>
      <c r="I111" s="356"/>
      <c r="J111" s="356"/>
      <c r="K111" s="356"/>
      <c r="L111" s="356"/>
      <c r="M111" s="73"/>
      <c r="N111" s="385"/>
      <c r="O111" s="385"/>
      <c r="P111" s="385"/>
      <c r="Q111" s="385"/>
      <c r="R111" s="385"/>
      <c r="S111" s="385"/>
      <c r="V111" s="131"/>
      <c r="W111" s="139" t="s">
        <v>339</v>
      </c>
      <c r="X111" s="45">
        <f>IF($X$67="Schachtlüftung",MAX(X108,X110),MAX(X108,X109))</f>
        <v>0</v>
      </c>
      <c r="Y111" s="9" t="s">
        <v>335</v>
      </c>
      <c r="Z111" s="153">
        <f>$X$57*Z108</f>
        <v>0</v>
      </c>
      <c r="AC111" s="50"/>
      <c r="AD111" s="4"/>
      <c r="AE111" s="4"/>
      <c r="AH111" s="50"/>
    </row>
    <row r="112" spans="1:41" ht="18" customHeight="1" x14ac:dyDescent="0.2">
      <c r="A112" s="227"/>
      <c r="B112" s="227"/>
      <c r="C112" s="227"/>
      <c r="D112" s="227"/>
      <c r="E112" s="227"/>
      <c r="F112" s="227"/>
      <c r="G112" s="227"/>
      <c r="H112" s="227"/>
      <c r="I112" s="227"/>
      <c r="J112" s="227"/>
      <c r="K112" s="227"/>
      <c r="L112" s="227"/>
      <c r="M112" s="227"/>
      <c r="N112" s="227"/>
      <c r="O112" s="227"/>
      <c r="P112" s="227"/>
      <c r="Q112" s="227"/>
      <c r="R112" s="227"/>
      <c r="S112" s="227"/>
      <c r="V112" s="131"/>
      <c r="W112" s="139" t="s">
        <v>340</v>
      </c>
      <c r="X112" s="45">
        <f>X113*0.7</f>
        <v>38.5</v>
      </c>
      <c r="Y112" s="9" t="s">
        <v>340</v>
      </c>
      <c r="Z112" s="153">
        <f>0.7*Z108</f>
        <v>38.5</v>
      </c>
      <c r="AH112" s="50"/>
    </row>
    <row r="113" spans="1:36" ht="9.9499999999999993" customHeight="1" x14ac:dyDescent="0.2">
      <c r="A113" s="227"/>
      <c r="B113" s="227"/>
      <c r="C113" s="227"/>
      <c r="D113" s="352"/>
      <c r="E113" s="352"/>
      <c r="F113" s="352"/>
      <c r="G113" s="352"/>
      <c r="H113" s="352"/>
      <c r="I113" s="352"/>
      <c r="J113" s="73"/>
      <c r="K113" s="229"/>
      <c r="L113" s="230"/>
      <c r="M113" s="231"/>
      <c r="N113" s="357"/>
      <c r="O113" s="357"/>
      <c r="P113" s="73"/>
      <c r="Q113" s="231"/>
      <c r="R113" s="227"/>
      <c r="S113" s="227"/>
      <c r="V113" s="131"/>
      <c r="W113" s="139" t="s">
        <v>341</v>
      </c>
      <c r="X113" s="45">
        <f>IF(L108="Ausgabe freie Lüftung und Ausgabe vg R-LG",MAX((-0.001*AJ106^2+1.15*AJ106+20),(55)),MAX((-0.001*$X$56^2+1.15*$X$56+20),(55)))</f>
        <v>55</v>
      </c>
      <c r="Y113" s="9" t="s">
        <v>342</v>
      </c>
      <c r="Z113" s="277">
        <f>1.3*Z108</f>
        <v>71.5</v>
      </c>
    </row>
    <row r="114" spans="1:36" ht="18" customHeight="1" x14ac:dyDescent="0.2">
      <c r="A114" s="227"/>
      <c r="B114" s="227"/>
      <c r="C114" s="227"/>
      <c r="D114" s="73"/>
      <c r="E114" s="73"/>
      <c r="F114" s="73"/>
      <c r="G114" s="73"/>
      <c r="H114" s="73"/>
      <c r="I114" s="73"/>
      <c r="J114" s="73"/>
      <c r="K114" s="73"/>
      <c r="L114" s="232"/>
      <c r="M114" s="73"/>
      <c r="N114" s="73"/>
      <c r="O114" s="73"/>
      <c r="P114" s="73"/>
      <c r="Q114" s="73"/>
      <c r="R114" s="227"/>
      <c r="S114" s="227"/>
      <c r="V114" s="131"/>
      <c r="W114" s="139" t="s">
        <v>342</v>
      </c>
      <c r="X114" s="45">
        <f>1.3*X113</f>
        <v>71.5</v>
      </c>
      <c r="Y114" s="9" t="s">
        <v>339</v>
      </c>
      <c r="Z114" s="153">
        <f>Z110/Z108*Z111</f>
        <v>0</v>
      </c>
    </row>
    <row r="115" spans="1:36" ht="9.9499999999999993" customHeight="1" x14ac:dyDescent="0.2">
      <c r="A115" s="227"/>
      <c r="B115" s="227"/>
      <c r="C115" s="227"/>
      <c r="D115" s="352"/>
      <c r="E115" s="352"/>
      <c r="F115" s="352"/>
      <c r="G115" s="352"/>
      <c r="H115" s="352"/>
      <c r="I115" s="352"/>
      <c r="J115" s="73"/>
      <c r="K115" s="229"/>
      <c r="L115" s="230"/>
      <c r="M115" s="73"/>
      <c r="N115" s="357"/>
      <c r="O115" s="357"/>
      <c r="P115" s="73"/>
      <c r="Q115" s="231"/>
      <c r="R115" s="227"/>
      <c r="S115" s="227"/>
      <c r="V115" s="131"/>
      <c r="W115" s="139" t="s">
        <v>343</v>
      </c>
      <c r="X115" s="45" t="e">
        <f>X111/X108*X112</f>
        <v>#VALUE!</v>
      </c>
      <c r="Y115" s="9" t="s">
        <v>343</v>
      </c>
      <c r="Z115" s="153">
        <f>Z110/Z108*Z112</f>
        <v>38.5</v>
      </c>
    </row>
    <row r="116" spans="1:36" ht="18" customHeight="1" thickBot="1" x14ac:dyDescent="0.25">
      <c r="A116" s="227"/>
      <c r="B116" s="227"/>
      <c r="C116" s="227"/>
      <c r="D116" s="73"/>
      <c r="E116" s="73"/>
      <c r="F116" s="73"/>
      <c r="G116" s="73"/>
      <c r="H116" s="73"/>
      <c r="I116" s="73"/>
      <c r="J116" s="73"/>
      <c r="K116" s="73"/>
      <c r="L116" s="232"/>
      <c r="M116" s="73"/>
      <c r="N116" s="73"/>
      <c r="O116" s="73"/>
      <c r="P116" s="73"/>
      <c r="Q116" s="73"/>
      <c r="R116" s="227"/>
      <c r="S116" s="227"/>
      <c r="V116" s="133"/>
      <c r="W116" s="140" t="s">
        <v>344</v>
      </c>
      <c r="X116" s="141" t="e">
        <f>X111/X108*X113</f>
        <v>#VALUE!</v>
      </c>
      <c r="Y116" s="278" t="s">
        <v>431</v>
      </c>
      <c r="Z116" s="279">
        <f>Z110/Z108*Z113</f>
        <v>71.5</v>
      </c>
    </row>
    <row r="117" spans="1:36" ht="18" customHeight="1" x14ac:dyDescent="0.2">
      <c r="A117" s="227"/>
      <c r="B117" s="227"/>
      <c r="C117" s="227"/>
      <c r="D117" s="352"/>
      <c r="E117" s="352"/>
      <c r="F117" s="352"/>
      <c r="G117" s="352"/>
      <c r="H117" s="352"/>
      <c r="I117" s="352"/>
      <c r="J117" s="73"/>
      <c r="K117" s="229"/>
      <c r="L117" s="230"/>
      <c r="M117" s="73"/>
      <c r="N117" s="357"/>
      <c r="O117" s="357"/>
      <c r="P117" s="73"/>
      <c r="Q117" s="231"/>
      <c r="R117" s="227"/>
      <c r="S117" s="227"/>
      <c r="W117" s="4"/>
    </row>
    <row r="118" spans="1:36" ht="9.9499999999999993" customHeight="1" thickBot="1" x14ac:dyDescent="0.25">
      <c r="A118" s="227"/>
      <c r="B118" s="227"/>
      <c r="C118" s="227"/>
      <c r="D118" s="229"/>
      <c r="E118" s="229"/>
      <c r="F118" s="229"/>
      <c r="G118" s="229"/>
      <c r="H118" s="229"/>
      <c r="I118" s="229"/>
      <c r="J118" s="73"/>
      <c r="K118" s="73"/>
      <c r="L118" s="232"/>
      <c r="M118" s="73"/>
      <c r="N118" s="73"/>
      <c r="O118" s="73"/>
      <c r="P118" s="73"/>
      <c r="Q118" s="73"/>
      <c r="R118" s="227"/>
      <c r="S118" s="227"/>
    </row>
    <row r="119" spans="1:36" ht="18" customHeight="1" thickBot="1" x14ac:dyDescent="0.25">
      <c r="A119" s="227"/>
      <c r="B119" s="227"/>
      <c r="C119" s="227"/>
      <c r="D119" s="352"/>
      <c r="E119" s="352"/>
      <c r="F119" s="352"/>
      <c r="G119" s="352"/>
      <c r="H119" s="352"/>
      <c r="I119" s="352"/>
      <c r="J119" s="73"/>
      <c r="K119" s="229"/>
      <c r="L119" s="230"/>
      <c r="M119" s="73"/>
      <c r="N119" s="357"/>
      <c r="O119" s="357"/>
      <c r="P119" s="73"/>
      <c r="Q119" s="231"/>
      <c r="R119" s="227"/>
      <c r="S119" s="227"/>
      <c r="V119" s="284" t="s">
        <v>352</v>
      </c>
      <c r="W119" s="285"/>
      <c r="X119" s="286"/>
      <c r="Y119" s="50"/>
      <c r="Z119" s="50"/>
      <c r="AA119" s="50"/>
      <c r="AB119" s="50"/>
      <c r="AD119" s="134" t="s">
        <v>34</v>
      </c>
      <c r="AE119" s="135" t="s">
        <v>370</v>
      </c>
      <c r="AF119" s="135"/>
      <c r="AG119" s="135"/>
      <c r="AH119" s="155"/>
      <c r="AI119" s="154"/>
      <c r="AJ119" s="121"/>
    </row>
    <row r="120" spans="1:36" ht="9.9499999999999993" customHeight="1" x14ac:dyDescent="0.2">
      <c r="A120" s="227"/>
      <c r="B120" s="227"/>
      <c r="C120" s="227"/>
      <c r="D120" s="227"/>
      <c r="E120" s="227"/>
      <c r="F120" s="227"/>
      <c r="G120" s="227"/>
      <c r="H120" s="227"/>
      <c r="I120" s="227"/>
      <c r="J120" s="227"/>
      <c r="K120" s="227"/>
      <c r="L120" s="227"/>
      <c r="M120" s="227"/>
      <c r="N120" s="227"/>
      <c r="O120" s="227"/>
      <c r="P120" s="227"/>
      <c r="Q120" s="227"/>
      <c r="R120" s="227"/>
      <c r="S120" s="227"/>
      <c r="V120" s="131" t="s">
        <v>62</v>
      </c>
      <c r="W120" s="80" t="b">
        <f>$X$58</f>
        <v>0</v>
      </c>
      <c r="X120" s="126"/>
      <c r="Y120" s="50"/>
      <c r="Z120" s="50"/>
      <c r="AA120" s="50"/>
      <c r="AB120" s="50"/>
      <c r="AD120" s="139" t="s">
        <v>354</v>
      </c>
      <c r="AE120" s="4"/>
      <c r="AF120" s="4"/>
      <c r="AG120" s="4"/>
      <c r="AH120" s="15"/>
      <c r="AI120" s="50"/>
      <c r="AJ120" s="126"/>
    </row>
    <row r="121" spans="1:36" ht="18" customHeight="1" x14ac:dyDescent="0.2">
      <c r="A121" s="227"/>
      <c r="B121" s="227"/>
      <c r="C121" s="227"/>
      <c r="D121" s="227"/>
      <c r="E121" s="227"/>
      <c r="F121" s="227"/>
      <c r="G121" s="227"/>
      <c r="H121" s="227"/>
      <c r="I121" s="227"/>
      <c r="J121" s="227"/>
      <c r="K121" s="227"/>
      <c r="L121" s="227"/>
      <c r="M121" s="227"/>
      <c r="N121" s="227"/>
      <c r="O121" s="227"/>
      <c r="P121" s="227"/>
      <c r="Q121" s="227"/>
      <c r="R121" s="227"/>
      <c r="S121" s="227"/>
      <c r="V121" s="131" t="s">
        <v>61</v>
      </c>
      <c r="W121" s="81">
        <f>$X$60</f>
        <v>0</v>
      </c>
      <c r="X121" s="126"/>
      <c r="Y121" s="50"/>
      <c r="Z121" s="50"/>
      <c r="AA121" s="50"/>
      <c r="AB121" s="50"/>
      <c r="AD121" s="139"/>
      <c r="AE121" s="4"/>
      <c r="AF121" s="4"/>
      <c r="AG121" s="4"/>
      <c r="AH121" s="15"/>
      <c r="AI121" s="50"/>
      <c r="AJ121" s="126"/>
    </row>
    <row r="122" spans="1:36" ht="9.9499999999999993" customHeight="1" x14ac:dyDescent="0.2">
      <c r="A122" s="228"/>
      <c r="B122" s="227"/>
      <c r="C122" s="227"/>
      <c r="D122" s="227"/>
      <c r="E122" s="227"/>
      <c r="F122" s="227"/>
      <c r="G122" s="227"/>
      <c r="H122" s="227"/>
      <c r="I122" s="227"/>
      <c r="J122" s="227"/>
      <c r="K122" s="227"/>
      <c r="L122" s="227"/>
      <c r="M122" s="227"/>
      <c r="N122" s="227"/>
      <c r="O122" s="227"/>
      <c r="P122" s="227"/>
      <c r="Q122" s="227"/>
      <c r="R122" s="227"/>
      <c r="S122" s="227"/>
      <c r="V122" s="151" t="s">
        <v>374</v>
      </c>
      <c r="W122" s="50">
        <f>$I$37</f>
        <v>0</v>
      </c>
      <c r="X122" s="126"/>
      <c r="Y122" s="50"/>
      <c r="Z122" s="50"/>
      <c r="AA122" s="50"/>
      <c r="AB122" s="50"/>
      <c r="AD122" s="156" t="s">
        <v>355</v>
      </c>
      <c r="AE122" s="362" t="s">
        <v>68</v>
      </c>
      <c r="AF122" s="379"/>
      <c r="AG122" s="362" t="s">
        <v>69</v>
      </c>
      <c r="AH122" s="363"/>
      <c r="AI122" s="363"/>
      <c r="AJ122" s="364"/>
    </row>
    <row r="123" spans="1:36" ht="18" customHeight="1" x14ac:dyDescent="0.2">
      <c r="A123" s="227"/>
      <c r="B123" s="227"/>
      <c r="C123" s="227"/>
      <c r="D123" s="227"/>
      <c r="E123" s="227"/>
      <c r="F123" s="227"/>
      <c r="G123" s="227"/>
      <c r="H123" s="227"/>
      <c r="I123" s="227"/>
      <c r="J123" s="227"/>
      <c r="K123" s="227"/>
      <c r="L123" s="227"/>
      <c r="M123" s="227"/>
      <c r="N123" s="227"/>
      <c r="O123" s="227"/>
      <c r="P123" s="227"/>
      <c r="Q123" s="227"/>
      <c r="R123" s="227"/>
      <c r="S123" s="227"/>
      <c r="V123" s="139" t="s">
        <v>58</v>
      </c>
      <c r="W123" s="50">
        <f>$X$56</f>
        <v>0</v>
      </c>
      <c r="X123" s="126"/>
      <c r="Y123" s="50"/>
      <c r="Z123" s="50"/>
      <c r="AA123" s="50"/>
      <c r="AB123" s="50"/>
      <c r="AD123" s="156"/>
      <c r="AE123" s="24" t="s">
        <v>301</v>
      </c>
      <c r="AF123" s="24" t="s">
        <v>356</v>
      </c>
      <c r="AG123" s="24" t="s">
        <v>357</v>
      </c>
      <c r="AH123" s="374" t="s">
        <v>363</v>
      </c>
      <c r="AI123" s="374"/>
      <c r="AJ123" s="375"/>
    </row>
    <row r="124" spans="1:36" ht="9.9499999999999993" customHeight="1" x14ac:dyDescent="0.3">
      <c r="A124" s="228"/>
      <c r="B124" s="73"/>
      <c r="C124" s="73"/>
      <c r="D124" s="356"/>
      <c r="E124" s="356"/>
      <c r="F124" s="356"/>
      <c r="G124" s="356"/>
      <c r="H124" s="356"/>
      <c r="I124" s="356"/>
      <c r="J124" s="356"/>
      <c r="K124" s="356"/>
      <c r="L124" s="356"/>
      <c r="M124" s="73"/>
      <c r="N124" s="385"/>
      <c r="O124" s="385"/>
      <c r="P124" s="385"/>
      <c r="Q124" s="385"/>
      <c r="R124" s="385"/>
      <c r="S124" s="385"/>
      <c r="V124" s="131" t="s">
        <v>353</v>
      </c>
      <c r="W124" s="50">
        <f>$W$123*$Q$43</f>
        <v>0</v>
      </c>
      <c r="X124" s="126"/>
      <c r="Y124" s="50"/>
      <c r="Z124" s="50"/>
      <c r="AA124" s="50"/>
      <c r="AB124" s="50"/>
      <c r="AD124" s="376" t="s">
        <v>364</v>
      </c>
      <c r="AE124" s="374" t="s">
        <v>365</v>
      </c>
      <c r="AF124" s="374"/>
      <c r="AG124" s="374"/>
      <c r="AH124" s="374" t="s">
        <v>361</v>
      </c>
      <c r="AI124" s="374"/>
      <c r="AJ124" s="378" t="s">
        <v>362</v>
      </c>
    </row>
    <row r="125" spans="1:36" ht="18" customHeight="1" thickBot="1" x14ac:dyDescent="0.25">
      <c r="A125" s="227"/>
      <c r="B125" s="227"/>
      <c r="C125" s="227"/>
      <c r="D125" s="227"/>
      <c r="E125" s="227"/>
      <c r="F125" s="227"/>
      <c r="G125" s="227"/>
      <c r="H125" s="227"/>
      <c r="I125" s="227"/>
      <c r="J125" s="227"/>
      <c r="K125" s="227"/>
      <c r="L125" s="227"/>
      <c r="M125" s="227"/>
      <c r="N125" s="227"/>
      <c r="O125" s="227"/>
      <c r="P125" s="227"/>
      <c r="Q125" s="227"/>
      <c r="R125" s="227"/>
      <c r="S125" s="227"/>
      <c r="V125" s="131" t="s">
        <v>410</v>
      </c>
      <c r="W125" s="50">
        <f>$AF$63</f>
        <v>0</v>
      </c>
      <c r="X125" s="126"/>
      <c r="Y125" s="50"/>
      <c r="Z125" s="50"/>
      <c r="AA125" s="50"/>
      <c r="AB125" s="50"/>
      <c r="AD125" s="377"/>
      <c r="AE125" s="374"/>
      <c r="AF125" s="374"/>
      <c r="AG125" s="374"/>
      <c r="AH125" s="24" t="s">
        <v>358</v>
      </c>
      <c r="AI125" s="75" t="s">
        <v>359</v>
      </c>
      <c r="AJ125" s="378"/>
    </row>
    <row r="126" spans="1:36" ht="9.9499999999999993" customHeight="1" thickBot="1" x14ac:dyDescent="0.25">
      <c r="A126" s="227"/>
      <c r="B126" s="227"/>
      <c r="C126" s="227"/>
      <c r="D126" s="73"/>
      <c r="E126" s="73"/>
      <c r="F126" s="73"/>
      <c r="G126" s="229"/>
      <c r="H126" s="92"/>
      <c r="I126" s="229"/>
      <c r="J126" s="73"/>
      <c r="K126" s="229"/>
      <c r="L126" s="230"/>
      <c r="M126" s="231"/>
      <c r="N126" s="357"/>
      <c r="O126" s="357"/>
      <c r="P126" s="73"/>
      <c r="Q126" s="231"/>
      <c r="R126" s="227"/>
      <c r="S126" s="227"/>
      <c r="V126" s="151" t="s">
        <v>371</v>
      </c>
      <c r="W126" s="78">
        <f>IF(AND($Q$42="eingeschossig",$W$122="windschwach"),$AG$46,IF(AND($Q$42="eingeschossig",$W$122="windstark"),$AG$47,IF(AND($Q$42="mehrgeschossig verbunden",$W$122="windschwach"),$AH$46,IF(AND($Q$42="mehrgeschossig verbunden",$W$122="windstark"),$AH$47,0))))</f>
        <v>0</v>
      </c>
      <c r="X126" s="78">
        <f>IF($W$122="windschwach",$AG$48,IF($W$122="windstark",$AG$49,0))</f>
        <v>0</v>
      </c>
      <c r="Y126" s="205">
        <f>IF($W$122="windschwach",$AG$52,IF($W$122="windstark",$AG$53,0))</f>
        <v>0</v>
      </c>
      <c r="Z126" s="205">
        <f>IF($Z$67="Abluftsystem",$AG$50,IF($Z$67="Zuluftsystem",$AG$51,0))</f>
        <v>0</v>
      </c>
      <c r="AA126" s="205">
        <f>IF($Z$67="Abluftsystem",$AG$50,IF($Z$67="Zuluftsystem",$AG$51,0))</f>
        <v>0</v>
      </c>
      <c r="AB126" s="206">
        <f>IF($Z$67="Abluftsystem",$AG$50,IF($Z$67="Zuluftsystem",$AG$51,0))</f>
        <v>0</v>
      </c>
      <c r="AD126" s="377"/>
      <c r="AE126" s="374"/>
      <c r="AF126" s="374"/>
      <c r="AG126" s="374"/>
      <c r="AH126" s="374" t="s">
        <v>360</v>
      </c>
      <c r="AI126" s="374"/>
      <c r="AJ126" s="378"/>
    </row>
    <row r="127" spans="1:36" ht="18" customHeight="1" x14ac:dyDescent="0.2">
      <c r="A127" s="227"/>
      <c r="B127" s="73"/>
      <c r="C127" s="73"/>
      <c r="D127" s="73"/>
      <c r="E127" s="73"/>
      <c r="F127" s="73"/>
      <c r="G127" s="73"/>
      <c r="H127" s="73"/>
      <c r="I127" s="229"/>
      <c r="J127" s="73"/>
      <c r="K127" s="73"/>
      <c r="L127" s="232"/>
      <c r="M127" s="73"/>
      <c r="N127" s="73"/>
      <c r="O127" s="73"/>
      <c r="P127" s="73"/>
      <c r="Q127" s="73"/>
      <c r="R127" s="227"/>
      <c r="S127" s="227"/>
      <c r="V127" s="120"/>
      <c r="W127" s="205" t="s">
        <v>372</v>
      </c>
      <c r="X127" s="135" t="s">
        <v>373</v>
      </c>
      <c r="Y127" s="205" t="s">
        <v>357</v>
      </c>
      <c r="Z127" s="355" t="s">
        <v>437</v>
      </c>
      <c r="AA127" s="355"/>
      <c r="AB127" s="294" t="s">
        <v>464</v>
      </c>
      <c r="AC127" s="73"/>
      <c r="AD127" s="156" t="s">
        <v>366</v>
      </c>
      <c r="AE127" s="76">
        <v>0.5</v>
      </c>
      <c r="AF127" s="48">
        <v>0.6</v>
      </c>
      <c r="AG127" s="77" t="s">
        <v>37</v>
      </c>
      <c r="AH127" s="48">
        <v>0.65</v>
      </c>
      <c r="AI127" s="48">
        <v>0.7</v>
      </c>
      <c r="AJ127" s="157">
        <v>0.8</v>
      </c>
    </row>
    <row r="128" spans="1:36" ht="9.9499999999999993" customHeight="1" x14ac:dyDescent="0.2">
      <c r="A128" s="227"/>
      <c r="B128" s="73"/>
      <c r="C128" s="73"/>
      <c r="D128" s="92"/>
      <c r="E128" s="92"/>
      <c r="F128" s="92"/>
      <c r="G128" s="92"/>
      <c r="H128" s="92"/>
      <c r="I128" s="229"/>
      <c r="J128" s="73"/>
      <c r="K128" s="229"/>
      <c r="L128" s="230"/>
      <c r="M128" s="73"/>
      <c r="N128" s="357"/>
      <c r="O128" s="357"/>
      <c r="P128" s="73"/>
      <c r="Q128" s="231"/>
      <c r="R128" s="227"/>
      <c r="S128" s="227"/>
      <c r="V128" s="131"/>
      <c r="W128" s="78"/>
      <c r="X128" s="4"/>
      <c r="Y128" s="78"/>
      <c r="Z128" s="24" t="s">
        <v>438</v>
      </c>
      <c r="AA128" s="75" t="s">
        <v>439</v>
      </c>
      <c r="AB128" s="126"/>
      <c r="AD128" s="156" t="s">
        <v>367</v>
      </c>
      <c r="AE128" s="350">
        <v>0.15</v>
      </c>
      <c r="AF128" s="351"/>
      <c r="AG128" s="48">
        <v>0.45</v>
      </c>
      <c r="AH128" s="362">
        <v>0.15</v>
      </c>
      <c r="AI128" s="363"/>
      <c r="AJ128" s="364"/>
    </row>
    <row r="129" spans="1:36" ht="18" customHeight="1" x14ac:dyDescent="0.2">
      <c r="A129" s="227"/>
      <c r="B129" s="73"/>
      <c r="C129" s="73"/>
      <c r="D129" s="73"/>
      <c r="E129" s="73"/>
      <c r="F129" s="73"/>
      <c r="G129" s="73"/>
      <c r="H129" s="73"/>
      <c r="I129" s="229"/>
      <c r="J129" s="73"/>
      <c r="K129" s="73"/>
      <c r="L129" s="232"/>
      <c r="M129" s="73"/>
      <c r="N129" s="73"/>
      <c r="O129" s="73"/>
      <c r="P129" s="73"/>
      <c r="Q129" s="73"/>
      <c r="R129" s="227"/>
      <c r="S129" s="227"/>
      <c r="V129" s="289" t="s">
        <v>366</v>
      </c>
      <c r="W129" s="287" t="e">
        <f t="shared" ref="W129:AB132" si="22">AE127*$W$124*$W$120*($W$125*W$126/50)^$W$121</f>
        <v>#NUM!</v>
      </c>
      <c r="X129" s="287" t="e">
        <f t="shared" si="22"/>
        <v>#NUM!</v>
      </c>
      <c r="Y129" s="287" t="e">
        <f t="shared" si="22"/>
        <v>#VALUE!</v>
      </c>
      <c r="Z129" s="287" t="e">
        <f t="shared" si="22"/>
        <v>#NUM!</v>
      </c>
      <c r="AA129" s="287" t="e">
        <f t="shared" si="22"/>
        <v>#NUM!</v>
      </c>
      <c r="AB129" s="290" t="e">
        <f t="shared" si="22"/>
        <v>#NUM!</v>
      </c>
      <c r="AD129" s="156" t="s">
        <v>368</v>
      </c>
      <c r="AE129" s="77" t="s">
        <v>37</v>
      </c>
      <c r="AF129" s="48">
        <v>0.35</v>
      </c>
      <c r="AG129" s="48"/>
      <c r="AH129" s="367" t="s">
        <v>37</v>
      </c>
      <c r="AI129" s="363"/>
      <c r="AJ129" s="364"/>
    </row>
    <row r="130" spans="1:36" ht="9.9499999999999993" customHeight="1" thickBot="1" x14ac:dyDescent="0.25">
      <c r="A130" s="227"/>
      <c r="B130" s="73"/>
      <c r="C130" s="73"/>
      <c r="D130" s="92"/>
      <c r="E130" s="92"/>
      <c r="F130" s="92"/>
      <c r="G130" s="92"/>
      <c r="H130" s="92"/>
      <c r="I130" s="229"/>
      <c r="J130" s="73"/>
      <c r="K130" s="229"/>
      <c r="L130" s="230"/>
      <c r="M130" s="73"/>
      <c r="N130" s="357"/>
      <c r="O130" s="357"/>
      <c r="P130" s="73"/>
      <c r="Q130" s="231"/>
      <c r="R130" s="227"/>
      <c r="S130" s="227"/>
      <c r="V130" s="289" t="s">
        <v>367</v>
      </c>
      <c r="W130" s="287" t="e">
        <f>AE128*$W$124*$W$120*($W$125*W$126/50)^$W$121</f>
        <v>#NUM!</v>
      </c>
      <c r="X130" s="287" t="e">
        <f>AE128*$W$124*$W$120*($W$125*X$126/50)^$W$121</f>
        <v>#NUM!</v>
      </c>
      <c r="Y130" s="287" t="e">
        <f t="shared" si="22"/>
        <v>#NUM!</v>
      </c>
      <c r="Z130" s="287" t="e">
        <f t="shared" si="22"/>
        <v>#NUM!</v>
      </c>
      <c r="AA130" s="287" t="e">
        <f>AH128*$W$124*$W$120*($W$125*AA$126/50)^$W$121</f>
        <v>#NUM!</v>
      </c>
      <c r="AB130" s="290" t="e">
        <f>AH128*$W$124*$W$120*($W$125*AB$126/50)^$W$121</f>
        <v>#NUM!</v>
      </c>
      <c r="AD130" s="158" t="s">
        <v>369</v>
      </c>
      <c r="AE130" s="159" t="s">
        <v>37</v>
      </c>
      <c r="AF130" s="159" t="s">
        <v>37</v>
      </c>
      <c r="AG130" s="160">
        <v>0.45</v>
      </c>
      <c r="AH130" s="161">
        <v>0.15</v>
      </c>
      <c r="AI130" s="365">
        <v>0.2</v>
      </c>
      <c r="AJ130" s="366"/>
    </row>
    <row r="131" spans="1:36" ht="18" customHeight="1" x14ac:dyDescent="0.2">
      <c r="A131" s="92"/>
      <c r="B131" s="73"/>
      <c r="C131" s="73"/>
      <c r="D131" s="73"/>
      <c r="E131" s="73"/>
      <c r="F131" s="73"/>
      <c r="G131" s="233"/>
      <c r="H131" s="233"/>
      <c r="I131" s="233"/>
      <c r="J131" s="233"/>
      <c r="K131" s="233"/>
      <c r="L131" s="232"/>
      <c r="M131" s="73"/>
      <c r="N131" s="73"/>
      <c r="O131" s="73"/>
      <c r="P131" s="73"/>
      <c r="Q131" s="233"/>
      <c r="R131" s="233"/>
      <c r="S131" s="73"/>
      <c r="V131" s="289" t="s">
        <v>368</v>
      </c>
      <c r="W131" s="288"/>
      <c r="X131" s="287" t="e">
        <f>AF129*$W$124*$W$120*($W$125*X$126/50)^$W$121</f>
        <v>#NUM!</v>
      </c>
      <c r="Y131" s="287" t="e">
        <f t="shared" si="22"/>
        <v>#NUM!</v>
      </c>
      <c r="Z131" s="287" t="e">
        <f t="shared" si="22"/>
        <v>#VALUE!</v>
      </c>
      <c r="AA131" s="287" t="e">
        <f>AH129*$W$124*$W$120*($W$125*AA$126/50)^$W$121</f>
        <v>#VALUE!</v>
      </c>
      <c r="AB131" s="290" t="e">
        <f>AH129*$W$124*$W$120*($W$125*AB$126/50)^$W$121</f>
        <v>#VALUE!</v>
      </c>
      <c r="AD131" s="4"/>
      <c r="AE131" s="46"/>
      <c r="AF131" s="46"/>
      <c r="AG131" s="46"/>
      <c r="AH131" s="46"/>
      <c r="AI131" s="50"/>
    </row>
    <row r="132" spans="1:36" ht="9.9499999999999993" customHeight="1" thickBot="1" x14ac:dyDescent="0.25">
      <c r="A132" s="73"/>
      <c r="B132" s="227"/>
      <c r="C132" s="227"/>
      <c r="D132" s="73"/>
      <c r="E132" s="73"/>
      <c r="F132" s="73"/>
      <c r="G132" s="229"/>
      <c r="H132" s="92"/>
      <c r="I132" s="229"/>
      <c r="J132" s="73"/>
      <c r="K132" s="229"/>
      <c r="L132" s="230"/>
      <c r="M132" s="231"/>
      <c r="N132" s="357"/>
      <c r="O132" s="357"/>
      <c r="P132" s="73"/>
      <c r="Q132" s="231"/>
      <c r="R132" s="227"/>
      <c r="S132" s="227"/>
      <c r="V132" s="291" t="s">
        <v>369</v>
      </c>
      <c r="W132" s="173"/>
      <c r="X132" s="173"/>
      <c r="Y132" s="292" t="e">
        <f t="shared" si="22"/>
        <v>#NUM!</v>
      </c>
      <c r="Z132" s="292" t="e">
        <f t="shared" si="22"/>
        <v>#NUM!</v>
      </c>
      <c r="AA132" s="292" t="e">
        <f>AI130*$W$124*$W$120*($W$125*AA$126/50)^$W$121</f>
        <v>#NUM!</v>
      </c>
      <c r="AB132" s="293" t="e">
        <f>AI130*$W$124*$W$120*($W$125*AB$126/50)^$W$121</f>
        <v>#NUM!</v>
      </c>
      <c r="AD132" s="4"/>
      <c r="AE132" s="4"/>
      <c r="AF132" s="4"/>
      <c r="AG132" s="4"/>
      <c r="AH132" s="46"/>
      <c r="AI132" s="50"/>
    </row>
    <row r="133" spans="1:36" ht="18" customHeight="1" x14ac:dyDescent="0.2">
      <c r="A133" s="227"/>
      <c r="B133" s="73"/>
      <c r="C133" s="73"/>
      <c r="D133" s="73"/>
      <c r="E133" s="73"/>
      <c r="F133" s="73"/>
      <c r="G133" s="73"/>
      <c r="H133" s="73"/>
      <c r="I133" s="229"/>
      <c r="J133" s="73"/>
      <c r="K133" s="73"/>
      <c r="L133" s="232"/>
      <c r="M133" s="73"/>
      <c r="N133" s="73"/>
      <c r="O133" s="73"/>
      <c r="P133" s="73"/>
      <c r="Q133" s="73"/>
      <c r="R133" s="227"/>
      <c r="S133" s="227"/>
      <c r="V133" s="50"/>
      <c r="W133" s="4"/>
      <c r="X133" s="45"/>
      <c r="Y133" s="4"/>
      <c r="Z133" s="4"/>
      <c r="AD133" s="4"/>
      <c r="AE133" s="4"/>
      <c r="AF133" s="4"/>
      <c r="AG133" s="4"/>
      <c r="AH133" s="4"/>
      <c r="AI133" s="50"/>
    </row>
    <row r="134" spans="1:36" ht="9.9499999999999993" customHeight="1" x14ac:dyDescent="0.2">
      <c r="A134" s="227"/>
      <c r="B134" s="73"/>
      <c r="C134" s="73"/>
      <c r="D134" s="92"/>
      <c r="E134" s="92"/>
      <c r="F134" s="92"/>
      <c r="G134" s="92"/>
      <c r="H134" s="92"/>
      <c r="I134" s="229"/>
      <c r="J134" s="73"/>
      <c r="K134" s="229"/>
      <c r="L134" s="230"/>
      <c r="M134" s="73"/>
      <c r="N134" s="357"/>
      <c r="O134" s="357"/>
      <c r="P134" s="73"/>
      <c r="Q134" s="231"/>
      <c r="R134" s="227"/>
      <c r="S134" s="227"/>
      <c r="V134" s="50"/>
      <c r="W134" s="4"/>
      <c r="X134" s="4"/>
      <c r="Y134" s="4"/>
      <c r="Z134" s="4"/>
      <c r="AD134" s="4"/>
      <c r="AE134" s="4"/>
      <c r="AF134" s="4"/>
      <c r="AG134" s="4"/>
      <c r="AH134" s="14"/>
      <c r="AI134" s="50"/>
    </row>
    <row r="135" spans="1:36" ht="18" customHeight="1" x14ac:dyDescent="0.2">
      <c r="A135" s="227"/>
      <c r="B135" s="73"/>
      <c r="C135" s="73"/>
      <c r="D135" s="73"/>
      <c r="E135" s="73"/>
      <c r="F135" s="73"/>
      <c r="G135" s="73"/>
      <c r="H135" s="73"/>
      <c r="I135" s="229"/>
      <c r="J135" s="73"/>
      <c r="K135" s="73"/>
      <c r="L135" s="232"/>
      <c r="M135" s="73"/>
      <c r="N135" s="73"/>
      <c r="O135" s="73"/>
      <c r="P135" s="73"/>
      <c r="Q135" s="73"/>
      <c r="R135" s="227"/>
      <c r="S135" s="227"/>
      <c r="V135" s="50"/>
      <c r="W135" s="4"/>
      <c r="X135" s="4"/>
      <c r="Y135" s="4"/>
      <c r="Z135" s="4"/>
      <c r="AD135" s="4"/>
      <c r="AE135" s="4"/>
      <c r="AF135" s="4"/>
      <c r="AG135" s="74"/>
      <c r="AH135" s="4"/>
      <c r="AI135" s="50"/>
    </row>
    <row r="136" spans="1:36" ht="9.9499999999999993" customHeight="1" x14ac:dyDescent="0.2">
      <c r="A136" s="227"/>
      <c r="B136" s="73"/>
      <c r="C136" s="73"/>
      <c r="D136" s="92"/>
      <c r="E136" s="92"/>
      <c r="F136" s="92"/>
      <c r="G136" s="92"/>
      <c r="H136" s="92"/>
      <c r="I136" s="229"/>
      <c r="J136" s="73"/>
      <c r="K136" s="229"/>
      <c r="L136" s="230"/>
      <c r="M136" s="73"/>
      <c r="N136" s="357"/>
      <c r="O136" s="357"/>
      <c r="P136" s="73"/>
      <c r="Q136" s="231"/>
      <c r="R136" s="227"/>
      <c r="S136" s="227"/>
      <c r="V136" s="50"/>
      <c r="W136" s="4"/>
      <c r="X136" s="4"/>
      <c r="Y136" s="4"/>
      <c r="Z136" s="4"/>
      <c r="AD136" s="4"/>
      <c r="AE136" s="4"/>
      <c r="AF136" s="4"/>
      <c r="AG136" s="74"/>
      <c r="AH136" s="74"/>
      <c r="AI136" s="50"/>
    </row>
    <row r="137" spans="1:36" ht="18" customHeight="1" x14ac:dyDescent="0.2">
      <c r="A137" s="227"/>
      <c r="B137" s="73"/>
      <c r="C137" s="73"/>
      <c r="D137" s="73"/>
      <c r="E137" s="73"/>
      <c r="F137" s="73"/>
      <c r="G137" s="73"/>
      <c r="H137" s="73"/>
      <c r="I137" s="73"/>
      <c r="J137" s="73"/>
      <c r="K137" s="73"/>
      <c r="L137" s="232"/>
      <c r="M137" s="73"/>
      <c r="N137" s="73"/>
      <c r="O137" s="73"/>
      <c r="P137" s="73"/>
      <c r="Q137" s="73"/>
      <c r="R137" s="227"/>
      <c r="S137" s="227"/>
      <c r="AD137" s="4"/>
      <c r="AE137" s="4"/>
      <c r="AF137" s="4"/>
      <c r="AG137" s="74"/>
      <c r="AH137" s="74"/>
      <c r="AI137" s="50"/>
    </row>
    <row r="138" spans="1:36" ht="18" customHeight="1" x14ac:dyDescent="0.2">
      <c r="A138" s="227"/>
      <c r="B138" s="227"/>
      <c r="C138" s="227"/>
      <c r="D138" s="73"/>
      <c r="E138" s="73"/>
      <c r="F138" s="73"/>
      <c r="G138" s="234"/>
      <c r="H138" s="235"/>
      <c r="I138" s="234"/>
      <c r="J138" s="235"/>
      <c r="K138" s="234"/>
      <c r="L138" s="236"/>
      <c r="M138" s="237"/>
      <c r="N138" s="465"/>
      <c r="O138" s="465"/>
      <c r="P138" s="235"/>
      <c r="Q138" s="237"/>
      <c r="R138" s="227"/>
      <c r="S138" s="227"/>
      <c r="AD138" s="4"/>
      <c r="AE138" s="4"/>
      <c r="AF138" s="4"/>
      <c r="AG138" s="74"/>
      <c r="AH138" s="74"/>
      <c r="AI138" s="50"/>
    </row>
    <row r="139" spans="1:36" ht="9.9499999999999993" customHeight="1" x14ac:dyDescent="0.2">
      <c r="A139" s="227"/>
      <c r="B139" s="73"/>
      <c r="C139" s="73"/>
      <c r="D139" s="73"/>
      <c r="E139" s="73"/>
      <c r="F139" s="73"/>
      <c r="G139" s="235"/>
      <c r="H139" s="235"/>
      <c r="I139" s="234"/>
      <c r="J139" s="235"/>
      <c r="K139" s="235"/>
      <c r="L139" s="238"/>
      <c r="M139" s="235"/>
      <c r="N139" s="235"/>
      <c r="O139" s="235"/>
      <c r="P139" s="235"/>
      <c r="Q139" s="235"/>
      <c r="R139" s="227"/>
      <c r="S139" s="227"/>
      <c r="AD139" s="4"/>
      <c r="AE139" s="4"/>
      <c r="AF139" s="4"/>
      <c r="AG139" s="74"/>
      <c r="AH139" s="74"/>
      <c r="AI139" s="50"/>
    </row>
    <row r="140" spans="1:36" ht="18" customHeight="1" x14ac:dyDescent="0.2">
      <c r="A140" s="227"/>
      <c r="B140" s="73"/>
      <c r="C140" s="73"/>
      <c r="D140" s="92"/>
      <c r="E140" s="92"/>
      <c r="F140" s="92"/>
      <c r="G140" s="235"/>
      <c r="H140" s="235"/>
      <c r="I140" s="234"/>
      <c r="J140" s="235"/>
      <c r="K140" s="234"/>
      <c r="L140" s="236"/>
      <c r="M140" s="235"/>
      <c r="N140" s="465"/>
      <c r="O140" s="465"/>
      <c r="P140" s="235"/>
      <c r="Q140" s="237"/>
      <c r="R140" s="227"/>
      <c r="S140" s="227"/>
    </row>
    <row r="141" spans="1:36" ht="18" customHeight="1" x14ac:dyDescent="0.2">
      <c r="A141" s="227"/>
      <c r="B141" s="73"/>
      <c r="C141" s="73"/>
      <c r="D141" s="73"/>
      <c r="E141" s="73"/>
      <c r="F141" s="73"/>
      <c r="G141" s="235"/>
      <c r="H141" s="235"/>
      <c r="I141" s="234"/>
      <c r="J141" s="235"/>
      <c r="K141" s="235"/>
      <c r="L141" s="238"/>
      <c r="M141" s="235"/>
      <c r="N141" s="235"/>
      <c r="O141" s="235"/>
      <c r="P141" s="235"/>
      <c r="Q141" s="235"/>
      <c r="R141" s="227"/>
      <c r="S141" s="227"/>
      <c r="U141" s="50"/>
      <c r="V141" s="50"/>
      <c r="W141" s="50"/>
    </row>
    <row r="142" spans="1:36" ht="18" customHeight="1" x14ac:dyDescent="0.2">
      <c r="A142" s="227"/>
      <c r="B142" s="73"/>
      <c r="C142" s="73"/>
      <c r="D142" s="92"/>
      <c r="E142" s="92"/>
      <c r="F142" s="92"/>
      <c r="G142" s="235"/>
      <c r="H142" s="235"/>
      <c r="I142" s="234"/>
      <c r="J142" s="235"/>
      <c r="K142" s="234"/>
      <c r="L142" s="236"/>
      <c r="M142" s="235"/>
      <c r="N142" s="465"/>
      <c r="O142" s="465"/>
      <c r="P142" s="235"/>
      <c r="Q142" s="237"/>
      <c r="R142" s="227"/>
      <c r="S142" s="227"/>
      <c r="U142" s="50"/>
      <c r="V142" s="50"/>
      <c r="W142" s="50"/>
    </row>
    <row r="143" spans="1:36" ht="18" customHeight="1" x14ac:dyDescent="0.2">
      <c r="A143" s="227"/>
      <c r="B143" s="227"/>
      <c r="C143" s="227"/>
      <c r="D143" s="227"/>
      <c r="E143" s="227"/>
      <c r="F143" s="227"/>
      <c r="G143" s="227"/>
      <c r="H143" s="227"/>
      <c r="I143" s="227"/>
      <c r="J143" s="227"/>
      <c r="K143" s="227"/>
      <c r="L143" s="227"/>
      <c r="M143" s="227"/>
      <c r="N143" s="227"/>
      <c r="O143" s="227"/>
      <c r="P143" s="227"/>
      <c r="Q143" s="227"/>
      <c r="R143" s="227"/>
      <c r="S143" s="227"/>
      <c r="U143" s="50"/>
      <c r="V143" s="50"/>
      <c r="W143" s="50"/>
    </row>
    <row r="144" spans="1:36" ht="18" customHeight="1" x14ac:dyDescent="0.2">
      <c r="A144" s="227"/>
      <c r="B144" s="227"/>
      <c r="C144" s="227"/>
      <c r="D144" s="227"/>
      <c r="E144" s="227"/>
      <c r="F144" s="227"/>
      <c r="G144" s="227"/>
      <c r="H144" s="227"/>
      <c r="I144" s="227"/>
      <c r="J144" s="227"/>
      <c r="K144" s="227"/>
      <c r="L144" s="227"/>
      <c r="M144" s="227"/>
      <c r="N144" s="227"/>
      <c r="O144" s="227"/>
      <c r="P144" s="227"/>
      <c r="Q144" s="227"/>
      <c r="R144" s="227"/>
      <c r="S144" s="227"/>
      <c r="U144" s="50"/>
      <c r="V144" s="50"/>
      <c r="W144" s="50"/>
    </row>
    <row r="145" spans="1:23" x14ac:dyDescent="0.2">
      <c r="A145" s="227"/>
      <c r="B145" s="227"/>
      <c r="C145" s="227"/>
      <c r="D145" s="227"/>
      <c r="E145" s="227"/>
      <c r="F145" s="227"/>
      <c r="G145" s="227"/>
      <c r="H145" s="227"/>
      <c r="I145" s="227"/>
      <c r="J145" s="227"/>
      <c r="K145" s="227"/>
      <c r="L145" s="227"/>
      <c r="M145" s="227"/>
      <c r="N145" s="227"/>
      <c r="O145" s="227"/>
      <c r="P145" s="227"/>
      <c r="Q145" s="227"/>
      <c r="R145" s="227"/>
      <c r="S145" s="227"/>
      <c r="U145" s="50"/>
      <c r="V145" s="50"/>
      <c r="W145" s="50"/>
    </row>
    <row r="146" spans="1:23" x14ac:dyDescent="0.2">
      <c r="A146" s="227"/>
      <c r="B146" s="227"/>
      <c r="C146" s="227"/>
      <c r="D146" s="227"/>
      <c r="E146" s="227"/>
      <c r="F146" s="227"/>
      <c r="G146" s="227"/>
      <c r="H146" s="227"/>
      <c r="I146" s="227"/>
      <c r="J146" s="227"/>
      <c r="K146" s="227"/>
      <c r="L146" s="227"/>
      <c r="M146" s="227"/>
      <c r="N146" s="227"/>
      <c r="O146" s="227"/>
      <c r="P146" s="227"/>
      <c r="Q146" s="227"/>
      <c r="R146" s="227"/>
      <c r="S146" s="227"/>
      <c r="U146" s="50"/>
      <c r="V146" s="50"/>
      <c r="W146" s="50"/>
    </row>
    <row r="147" spans="1:23" x14ac:dyDescent="0.2">
      <c r="A147" s="227"/>
      <c r="B147" s="227"/>
      <c r="C147" s="227"/>
      <c r="D147" s="227"/>
      <c r="E147" s="227"/>
      <c r="F147" s="227"/>
      <c r="G147" s="227"/>
      <c r="H147" s="227"/>
      <c r="I147" s="227"/>
      <c r="J147" s="227"/>
      <c r="K147" s="227"/>
      <c r="L147" s="227"/>
      <c r="M147" s="227"/>
      <c r="N147" s="227"/>
      <c r="O147" s="227"/>
      <c r="P147" s="227"/>
      <c r="Q147" s="227"/>
      <c r="R147" s="227"/>
      <c r="S147" s="227"/>
    </row>
    <row r="148" spans="1:23" x14ac:dyDescent="0.2">
      <c r="A148" s="227"/>
      <c r="B148" s="227"/>
      <c r="C148" s="227"/>
      <c r="D148" s="227"/>
      <c r="E148" s="227"/>
      <c r="F148" s="227"/>
      <c r="G148" s="227"/>
      <c r="H148" s="227"/>
      <c r="I148" s="227"/>
      <c r="J148" s="227"/>
      <c r="K148" s="227"/>
      <c r="L148" s="227"/>
      <c r="M148" s="227"/>
      <c r="N148" s="227"/>
      <c r="O148" s="227"/>
      <c r="P148" s="227"/>
      <c r="Q148" s="227"/>
      <c r="R148" s="227"/>
      <c r="S148" s="227"/>
    </row>
    <row r="149" spans="1:23" x14ac:dyDescent="0.2">
      <c r="A149" s="227"/>
      <c r="B149" s="227"/>
      <c r="C149" s="227"/>
      <c r="D149" s="227"/>
      <c r="E149" s="227"/>
      <c r="F149" s="227"/>
      <c r="G149" s="227"/>
      <c r="H149" s="227"/>
      <c r="I149" s="227"/>
      <c r="J149" s="227"/>
      <c r="K149" s="227"/>
      <c r="L149" s="227"/>
      <c r="M149" s="227"/>
      <c r="N149" s="227"/>
      <c r="O149" s="227"/>
      <c r="P149" s="227"/>
      <c r="Q149" s="227"/>
      <c r="R149" s="227"/>
      <c r="S149" s="227"/>
    </row>
    <row r="150" spans="1:23" x14ac:dyDescent="0.2">
      <c r="A150" s="227"/>
      <c r="B150" s="227"/>
      <c r="C150" s="227"/>
      <c r="D150" s="227"/>
      <c r="E150" s="227"/>
      <c r="F150" s="227"/>
      <c r="G150" s="227"/>
      <c r="H150" s="227"/>
      <c r="I150" s="227"/>
      <c r="J150" s="227"/>
      <c r="K150" s="227"/>
      <c r="L150" s="227"/>
      <c r="M150" s="227"/>
      <c r="N150" s="227"/>
      <c r="O150" s="227"/>
      <c r="P150" s="227"/>
      <c r="Q150" s="227"/>
      <c r="R150" s="227"/>
      <c r="S150" s="227"/>
    </row>
  </sheetData>
  <sheetProtection password="EFEE" sheet="1" objects="1" scenarios="1"/>
  <mergeCells count="207">
    <mergeCell ref="C21:G21"/>
    <mergeCell ref="C25:G25"/>
    <mergeCell ref="C33:L33"/>
    <mergeCell ref="I22:S22"/>
    <mergeCell ref="I23:S23"/>
    <mergeCell ref="I24:S24"/>
    <mergeCell ref="I25:S25"/>
    <mergeCell ref="N41:O41"/>
    <mergeCell ref="C36:G36"/>
    <mergeCell ref="C22:G22"/>
    <mergeCell ref="C35:G35"/>
    <mergeCell ref="C24:G24"/>
    <mergeCell ref="C23:G23"/>
    <mergeCell ref="C38:G38"/>
    <mergeCell ref="C37:G37"/>
    <mergeCell ref="I41:K41"/>
    <mergeCell ref="N142:O142"/>
    <mergeCell ref="N124:S124"/>
    <mergeCell ref="N119:O119"/>
    <mergeCell ref="N113:O113"/>
    <mergeCell ref="C18:G18"/>
    <mergeCell ref="C26:G26"/>
    <mergeCell ref="N33:S33"/>
    <mergeCell ref="N66:O66"/>
    <mergeCell ref="N63:S63"/>
    <mergeCell ref="N132:O132"/>
    <mergeCell ref="N140:O140"/>
    <mergeCell ref="N138:O138"/>
    <mergeCell ref="N136:O136"/>
    <mergeCell ref="N134:O134"/>
    <mergeCell ref="N99:O99"/>
    <mergeCell ref="N130:O130"/>
    <mergeCell ref="N128:O128"/>
    <mergeCell ref="N126:O126"/>
    <mergeCell ref="N117:O117"/>
    <mergeCell ref="N104:O104"/>
    <mergeCell ref="N88:O88"/>
    <mergeCell ref="N91:O91"/>
    <mergeCell ref="K89:O89"/>
    <mergeCell ref="N68:O68"/>
    <mergeCell ref="AG53:AH53"/>
    <mergeCell ref="G74:G88"/>
    <mergeCell ref="N76:O76"/>
    <mergeCell ref="N77:O77"/>
    <mergeCell ref="N78:O78"/>
    <mergeCell ref="N79:O79"/>
    <mergeCell ref="N80:O80"/>
    <mergeCell ref="N81:O81"/>
    <mergeCell ref="N74:O74"/>
    <mergeCell ref="N82:O82"/>
    <mergeCell ref="N83:O83"/>
    <mergeCell ref="N84:O84"/>
    <mergeCell ref="N85:O85"/>
    <mergeCell ref="N86:O86"/>
    <mergeCell ref="N87:O87"/>
    <mergeCell ref="N67:O67"/>
    <mergeCell ref="I79:K79"/>
    <mergeCell ref="I80:K80"/>
    <mergeCell ref="I81:K81"/>
    <mergeCell ref="I82:K82"/>
    <mergeCell ref="I83:K83"/>
    <mergeCell ref="I84:K84"/>
    <mergeCell ref="I85:K85"/>
    <mergeCell ref="I86:K86"/>
    <mergeCell ref="B43:G43"/>
    <mergeCell ref="B42:G42"/>
    <mergeCell ref="B41:G41"/>
    <mergeCell ref="D66:G66"/>
    <mergeCell ref="I67:K67"/>
    <mergeCell ref="I68:K68"/>
    <mergeCell ref="I66:K66"/>
    <mergeCell ref="G91:G105"/>
    <mergeCell ref="C46:G46"/>
    <mergeCell ref="I91:K91"/>
    <mergeCell ref="I92:K92"/>
    <mergeCell ref="I93:K93"/>
    <mergeCell ref="I94:K94"/>
    <mergeCell ref="I95:K95"/>
    <mergeCell ref="I96:K96"/>
    <mergeCell ref="I97:K97"/>
    <mergeCell ref="I98:K98"/>
    <mergeCell ref="I90:K90"/>
    <mergeCell ref="I73:K73"/>
    <mergeCell ref="I74:K74"/>
    <mergeCell ref="I75:K75"/>
    <mergeCell ref="I76:K76"/>
    <mergeCell ref="I77:K77"/>
    <mergeCell ref="I78:K78"/>
    <mergeCell ref="AG52:AH52"/>
    <mergeCell ref="AG51:AH51"/>
    <mergeCell ref="AG50:AH50"/>
    <mergeCell ref="AG48:AH48"/>
    <mergeCell ref="AG49:AH49"/>
    <mergeCell ref="I26:S26"/>
    <mergeCell ref="I27:S27"/>
    <mergeCell ref="I12:S12"/>
    <mergeCell ref="I13:S13"/>
    <mergeCell ref="I14:S14"/>
    <mergeCell ref="I42:K42"/>
    <mergeCell ref="Q43:R43"/>
    <mergeCell ref="I47:K48"/>
    <mergeCell ref="Q42:S42"/>
    <mergeCell ref="I43:K43"/>
    <mergeCell ref="Q41:R41"/>
    <mergeCell ref="N47:O47"/>
    <mergeCell ref="N43:O43"/>
    <mergeCell ref="N42:O42"/>
    <mergeCell ref="I50:K51"/>
    <mergeCell ref="I46:K46"/>
    <mergeCell ref="G39:I39"/>
    <mergeCell ref="C28:G28"/>
    <mergeCell ref="C27:G27"/>
    <mergeCell ref="A4:S4"/>
    <mergeCell ref="I8:S8"/>
    <mergeCell ref="I9:S9"/>
    <mergeCell ref="C8:G8"/>
    <mergeCell ref="C9:G9"/>
    <mergeCell ref="I28:S28"/>
    <mergeCell ref="Q38:S38"/>
    <mergeCell ref="I35:L35"/>
    <mergeCell ref="I37:L37"/>
    <mergeCell ref="N38:O38"/>
    <mergeCell ref="I36:K36"/>
    <mergeCell ref="I38:L38"/>
    <mergeCell ref="N35:O35"/>
    <mergeCell ref="N36:O36"/>
    <mergeCell ref="Q35:R35"/>
    <mergeCell ref="Q36:R36"/>
    <mergeCell ref="C10:G10"/>
    <mergeCell ref="C19:G19"/>
    <mergeCell ref="C12:G12"/>
    <mergeCell ref="C15:G15"/>
    <mergeCell ref="C14:G14"/>
    <mergeCell ref="C13:G13"/>
    <mergeCell ref="C17:G17"/>
    <mergeCell ref="C16:G16"/>
    <mergeCell ref="Q1:S1"/>
    <mergeCell ref="Q2:S2"/>
    <mergeCell ref="Q56:S56"/>
    <mergeCell ref="Q58:S58"/>
    <mergeCell ref="I15:S15"/>
    <mergeCell ref="I16:S16"/>
    <mergeCell ref="I17:S17"/>
    <mergeCell ref="I18:S18"/>
    <mergeCell ref="I19:S19"/>
    <mergeCell ref="I21:S21"/>
    <mergeCell ref="N58:O58"/>
    <mergeCell ref="N56:O56"/>
    <mergeCell ref="K58:L58"/>
    <mergeCell ref="Q47:R47"/>
    <mergeCell ref="Q51:R51"/>
    <mergeCell ref="N37:O37"/>
    <mergeCell ref="Q37:S37"/>
    <mergeCell ref="Q48:R48"/>
    <mergeCell ref="Q50:R50"/>
    <mergeCell ref="N51:O51"/>
    <mergeCell ref="N50:O50"/>
    <mergeCell ref="N48:O48"/>
    <mergeCell ref="I10:S10"/>
    <mergeCell ref="A3:S3"/>
    <mergeCell ref="AH128:AJ128"/>
    <mergeCell ref="AI130:AJ130"/>
    <mergeCell ref="AH129:AJ129"/>
    <mergeCell ref="N60:S60"/>
    <mergeCell ref="K56:L56"/>
    <mergeCell ref="N70:O70"/>
    <mergeCell ref="AH123:AJ123"/>
    <mergeCell ref="AD124:AD126"/>
    <mergeCell ref="AJ124:AJ126"/>
    <mergeCell ref="AE122:AF122"/>
    <mergeCell ref="AG122:AJ122"/>
    <mergeCell ref="AH126:AI126"/>
    <mergeCell ref="AE124:AG126"/>
    <mergeCell ref="AH124:AI124"/>
    <mergeCell ref="N75:O75"/>
    <mergeCell ref="K106:O106"/>
    <mergeCell ref="N100:O100"/>
    <mergeCell ref="D111:L111"/>
    <mergeCell ref="N111:S111"/>
    <mergeCell ref="N105:O105"/>
    <mergeCell ref="N101:O101"/>
    <mergeCell ref="N102:O102"/>
    <mergeCell ref="N92:O92"/>
    <mergeCell ref="N93:O93"/>
    <mergeCell ref="I87:K87"/>
    <mergeCell ref="I88:K88"/>
    <mergeCell ref="AE128:AF128"/>
    <mergeCell ref="D113:I113"/>
    <mergeCell ref="D115:I115"/>
    <mergeCell ref="N94:O94"/>
    <mergeCell ref="N95:O95"/>
    <mergeCell ref="N97:O97"/>
    <mergeCell ref="N98:O98"/>
    <mergeCell ref="Z127:AA127"/>
    <mergeCell ref="D117:I117"/>
    <mergeCell ref="D124:L124"/>
    <mergeCell ref="D119:I119"/>
    <mergeCell ref="N103:O103"/>
    <mergeCell ref="N96:O96"/>
    <mergeCell ref="N115:O115"/>
    <mergeCell ref="I99:K99"/>
    <mergeCell ref="I100:K100"/>
    <mergeCell ref="I101:K101"/>
    <mergeCell ref="I102:K102"/>
    <mergeCell ref="I103:K103"/>
    <mergeCell ref="I104:K104"/>
    <mergeCell ref="I105:K105"/>
  </mergeCells>
  <phoneticPr fontId="1" type="noConversion"/>
  <conditionalFormatting sqref="N91:N105 N74:N75">
    <cfRule type="expression" dxfId="109" priority="73" stopIfTrue="1">
      <formula>AND(ISTEXT($I74),ISBLANK($N74))</formula>
    </cfRule>
    <cfRule type="expression" dxfId="108" priority="74" stopIfTrue="1">
      <formula>AND(ISTEXT($I74),ISTEXT($N74))</formula>
    </cfRule>
    <cfRule type="expression" dxfId="107" priority="75" stopIfTrue="1">
      <formula>AND(ISTEXT($N74),ISBLANK($I74))</formula>
    </cfRule>
  </conditionalFormatting>
  <conditionalFormatting sqref="Q74:Q88 Q91:Q105">
    <cfRule type="expression" dxfId="106" priority="76" stopIfTrue="1">
      <formula>AND(OR(ISTEXT($I74),ISTEXT($N74)),ISBLANK($Q74))</formula>
    </cfRule>
    <cfRule type="expression" dxfId="105" priority="77" stopIfTrue="1">
      <formula>AND(ISTEXT($I74),ISNUMBER($Q74))</formula>
    </cfRule>
    <cfRule type="expression" dxfId="104" priority="78" stopIfTrue="1">
      <formula>AND(OR(ISBLANK($I74),ISBLANK($N74)),ISNUMBER($Q74))</formula>
    </cfRule>
  </conditionalFormatting>
  <conditionalFormatting sqref="Q48:R48">
    <cfRule type="expression" dxfId="103" priority="83" stopIfTrue="1">
      <formula>AND($I$46="ja",ISBLANK(Q47))</formula>
    </cfRule>
    <cfRule type="expression" dxfId="102" priority="84" stopIfTrue="1">
      <formula>OR($I$46="nein",ISBLANK(I46))</formula>
    </cfRule>
    <cfRule type="expression" dxfId="101" priority="85" stopIfTrue="1">
      <formula>AND($I$46="ja",ISNUMBER(Q47))</formula>
    </cfRule>
  </conditionalFormatting>
  <conditionalFormatting sqref="Q47:R47">
    <cfRule type="expression" dxfId="100" priority="86" stopIfTrue="1">
      <formula>AND($I$46="ja",ISBLANK(Q47))</formula>
    </cfRule>
    <cfRule type="expression" dxfId="99" priority="87" stopIfTrue="1">
      <formula>OR($I$46="nein",ISBLANK(I46))</formula>
    </cfRule>
    <cfRule type="expression" dxfId="98" priority="88" stopIfTrue="1">
      <formula>AND($I$46="ja",ISNUMBER(Q47))</formula>
    </cfRule>
  </conditionalFormatting>
  <conditionalFormatting sqref="I92:I105 L92:L105 I75:I88 L75:L88">
    <cfRule type="expression" dxfId="97" priority="89" stopIfTrue="1">
      <formula>AND(ISTEXT(I74),ISBLANK(I75))</formula>
    </cfRule>
    <cfRule type="expression" dxfId="96" priority="90" stopIfTrue="1">
      <formula>ISBLANK(I74)</formula>
    </cfRule>
  </conditionalFormatting>
  <conditionalFormatting sqref="Q56:S56 Q58:S58">
    <cfRule type="expression" dxfId="95" priority="91" stopIfTrue="1">
      <formula>ISNUMBER(N56)</formula>
    </cfRule>
    <cfRule type="expression" dxfId="94" priority="92" stopIfTrue="1">
      <formula>ISTEXT(N56)</formula>
    </cfRule>
  </conditionalFormatting>
  <conditionalFormatting sqref="Q115 D130:H130 D128:H128 D136:H136 D134:H134 D142:H142 D140:H140 D115:I115 K115:L115 D117:I119 Q117 K117:L117 K119:L119 Q119">
    <cfRule type="expression" dxfId="93" priority="95" stopIfTrue="1">
      <formula>$X$67="Querlüftung (FS)"</formula>
    </cfRule>
    <cfRule type="expression" dxfId="92" priority="96" stopIfTrue="1">
      <formula>OR($X$67="Querlüftung",$X$67="Schachtlüftung",$Z$67="Zuluftsystem",$Z$67="Abluftsystem",$Z$67="Zu-/Abluft-System")</formula>
    </cfRule>
  </conditionalFormatting>
  <conditionalFormatting sqref="K130:N130 K126:N126 K128:N128 G126 I126 Q126 Q128 Q130 I128 I130">
    <cfRule type="expression" dxfId="91" priority="97" stopIfTrue="1">
      <formula>$N$124="Querlüftung (FS)"</formula>
    </cfRule>
    <cfRule type="expression" dxfId="90" priority="98" stopIfTrue="1">
      <formula>OR($N$124="Querlüftung",$N$124="Schachtlüftung")</formula>
    </cfRule>
  </conditionalFormatting>
  <conditionalFormatting sqref="I134 I136 K136:N136 K132:N132 Q132 G132 Q134 I132 Q136 K134:N134">
    <cfRule type="expression" dxfId="89" priority="99" stopIfTrue="1">
      <formula>$N$124="Querlüftung (FS)"</formula>
    </cfRule>
    <cfRule type="expression" dxfId="88" priority="100" stopIfTrue="1">
      <formula>OR($N$124="Querlüftung",$N$124="Schachtlüftung")</formula>
    </cfRule>
  </conditionalFormatting>
  <conditionalFormatting sqref="I66:K68">
    <cfRule type="expression" dxfId="87" priority="55" stopIfTrue="1">
      <formula>ISBLANK($N$33)</formula>
    </cfRule>
    <cfRule type="expression" dxfId="86" priority="59" stopIfTrue="1">
      <formula>$N$63="ventilatorgestützte Lüftung"</formula>
    </cfRule>
    <cfRule type="expression" dxfId="85" priority="60" stopIfTrue="1">
      <formula>$N$63="freie Lüftung"</formula>
    </cfRule>
  </conditionalFormatting>
  <conditionalFormatting sqref="N66:O68 N70:O70">
    <cfRule type="expression" dxfId="84" priority="57" stopIfTrue="1">
      <formula>$N$63="ventilatorgestützte Lüftung"</formula>
    </cfRule>
    <cfRule type="expression" dxfId="83" priority="58" stopIfTrue="1">
      <formula>"""$n$63=""freie Lüftung"""</formula>
    </cfRule>
  </conditionalFormatting>
  <conditionalFormatting sqref="N33:S33">
    <cfRule type="expression" dxfId="82" priority="53" stopIfTrue="1">
      <formula>ISTEXT($N$33)</formula>
    </cfRule>
    <cfRule type="expression" dxfId="81" priority="54" stopIfTrue="1">
      <formula>ISBLANK($N$33)</formula>
    </cfRule>
  </conditionalFormatting>
  <conditionalFormatting sqref="N56:O56 Q56:S56">
    <cfRule type="expression" dxfId="80" priority="51" stopIfTrue="1">
      <formula>ISTEXT($N$56)</formula>
    </cfRule>
    <cfRule type="expression" dxfId="79" priority="52" stopIfTrue="1">
      <formula>ISNUMBER($N$56)</formula>
    </cfRule>
  </conditionalFormatting>
  <conditionalFormatting sqref="N58:O58 Q58:S58">
    <cfRule type="expression" dxfId="78" priority="49" stopIfTrue="1">
      <formula>ISTEXT($N$58)</formula>
    </cfRule>
    <cfRule type="expression" dxfId="77" priority="50" stopIfTrue="1">
      <formula>ISNUMBER($N$58)</formula>
    </cfRule>
  </conditionalFormatting>
  <conditionalFormatting sqref="N60:S60">
    <cfRule type="expression" dxfId="76" priority="46" stopIfTrue="1">
      <formula>$N$60="Maßnahmen erforderlich !"</formula>
    </cfRule>
    <cfRule type="expression" dxfId="75" priority="47" stopIfTrue="1">
      <formula>$N$60="keine Maßnahmen erforderlich"</formula>
    </cfRule>
    <cfRule type="expression" dxfId="74" priority="48" stopIfTrue="1">
      <formula>$N$60="fehlende Angaben"</formula>
    </cfRule>
  </conditionalFormatting>
  <conditionalFormatting sqref="I37:L38">
    <cfRule type="expression" dxfId="73" priority="44" stopIfTrue="1">
      <formula>ISBLANK(I37)</formula>
    </cfRule>
    <cfRule type="expression" dxfId="72" priority="45" stopIfTrue="1">
      <formula>ISTEXT(I37)</formula>
    </cfRule>
  </conditionalFormatting>
  <conditionalFormatting sqref="Q56:S56 Q58:S58">
    <cfRule type="expression" dxfId="71" priority="42" stopIfTrue="1">
      <formula>ISNUMBER(N56)</formula>
    </cfRule>
    <cfRule type="expression" dxfId="70" priority="43" stopIfTrue="1">
      <formula>ISTEXT(N56)</formula>
    </cfRule>
  </conditionalFormatting>
  <conditionalFormatting sqref="N56:O56">
    <cfRule type="expression" dxfId="69" priority="40" stopIfTrue="1">
      <formula>ISNUMBER(N56)</formula>
    </cfRule>
    <cfRule type="expression" dxfId="68" priority="41" stopIfTrue="1">
      <formula>ISTEXT(N56)</formula>
    </cfRule>
  </conditionalFormatting>
  <conditionalFormatting sqref="N58:O58">
    <cfRule type="expression" dxfId="67" priority="38" stopIfTrue="1">
      <formula>ISNUMBER(N58)</formula>
    </cfRule>
    <cfRule type="expression" dxfId="66" priority="39" stopIfTrue="1">
      <formula>ISTEXT(N58)</formula>
    </cfRule>
  </conditionalFormatting>
  <conditionalFormatting sqref="Q37:S38">
    <cfRule type="expression" dxfId="65" priority="36" stopIfTrue="1">
      <formula>ISBLANK(Q37)</formula>
    </cfRule>
    <cfRule type="expression" dxfId="64" priority="37" stopIfTrue="1">
      <formula>ISTEXT(Q37)</formula>
    </cfRule>
  </conditionalFormatting>
  <conditionalFormatting sqref="I41:K41 I43:K43">
    <cfRule type="expression" dxfId="63" priority="34" stopIfTrue="1">
      <formula>ISBLANK(I41)</formula>
    </cfRule>
    <cfRule type="expression" dxfId="62" priority="35" stopIfTrue="1">
      <formula>ISNUMBER(I41)</formula>
    </cfRule>
  </conditionalFormatting>
  <conditionalFormatting sqref="Q43:R43">
    <cfRule type="expression" dxfId="61" priority="32" stopIfTrue="1">
      <formula>ISBLANK(Q43)</formula>
    </cfRule>
    <cfRule type="expression" dxfId="60" priority="33" stopIfTrue="1">
      <formula>ISNUMBER(Q43)</formula>
    </cfRule>
  </conditionalFormatting>
  <conditionalFormatting sqref="Q42:S42">
    <cfRule type="expression" dxfId="59" priority="30" stopIfTrue="1">
      <formula>ISBLANK(Q42)</formula>
    </cfRule>
    <cfRule type="expression" dxfId="58" priority="31" stopIfTrue="1">
      <formula>ISTEXT(Q42)</formula>
    </cfRule>
  </conditionalFormatting>
  <conditionalFormatting sqref="I46:K46">
    <cfRule type="expression" dxfId="57" priority="28" stopIfTrue="1">
      <formula>ISBLANK(I46)</formula>
    </cfRule>
    <cfRule type="expression" dxfId="56" priority="29" stopIfTrue="1">
      <formula>ISTEXT(I46)</formula>
    </cfRule>
  </conditionalFormatting>
  <conditionalFormatting sqref="Q48:R48">
    <cfRule type="expression" dxfId="55" priority="25" stopIfTrue="1">
      <formula>AND($I$46="ja",ISBLANK(Q47))</formula>
    </cfRule>
    <cfRule type="expression" dxfId="54" priority="26" stopIfTrue="1">
      <formula>OR($I$46="nein",ISBLANK(I46))</formula>
    </cfRule>
    <cfRule type="expression" dxfId="53" priority="27" stopIfTrue="1">
      <formula>AND($I$46="ja",ISNUMBER(Q47))</formula>
    </cfRule>
  </conditionalFormatting>
  <conditionalFormatting sqref="Q47:R47">
    <cfRule type="expression" dxfId="52" priority="22" stopIfTrue="1">
      <formula>AND($I$46="ja",ISBLANK(Q47))</formula>
    </cfRule>
    <cfRule type="expression" dxfId="51" priority="23" stopIfTrue="1">
      <formula>OR($I$46="nein",ISBLANK(I46))</formula>
    </cfRule>
    <cfRule type="expression" dxfId="50" priority="24" stopIfTrue="1">
      <formula>AND($I$46="ja",ISNUMBER(Q47))</formula>
    </cfRule>
  </conditionalFormatting>
  <conditionalFormatting sqref="Q50:Q51">
    <cfRule type="expression" dxfId="49" priority="20" stopIfTrue="1">
      <formula>$I$46="ja"</formula>
    </cfRule>
    <cfRule type="expression" dxfId="48" priority="21" stopIfTrue="1">
      <formula>OR(ISBLANK($I$46),$I$46="nein")</formula>
    </cfRule>
  </conditionalFormatting>
  <conditionalFormatting sqref="N70:O70">
    <cfRule type="expression" dxfId="47" priority="19" stopIfTrue="1">
      <formula>OR(ISBLANK($N$33),AND(ISBLANK($N$70),$N$63="ventilatorgestützte Lüftung"))</formula>
    </cfRule>
  </conditionalFormatting>
  <conditionalFormatting sqref="N63:S63">
    <cfRule type="expression" dxfId="46" priority="17" stopIfTrue="1">
      <formula>ISTEXT($N$33)</formula>
    </cfRule>
    <cfRule type="expression" dxfId="45" priority="18" stopIfTrue="1">
      <formula>ISBLANK($N$33)</formula>
    </cfRule>
  </conditionalFormatting>
  <conditionalFormatting sqref="N66:O68">
    <cfRule type="expression" dxfId="44" priority="16" stopIfTrue="1">
      <formula>ISBLANK($N$33)</formula>
    </cfRule>
  </conditionalFormatting>
  <conditionalFormatting sqref="N76:N83">
    <cfRule type="expression" dxfId="43" priority="10" stopIfTrue="1">
      <formula>AND(ISTEXT($I76),ISBLANK($N76))</formula>
    </cfRule>
    <cfRule type="expression" dxfId="42" priority="11" stopIfTrue="1">
      <formula>AND(ISTEXT($I76),ISTEXT($N76))</formula>
    </cfRule>
    <cfRule type="expression" dxfId="41" priority="12" stopIfTrue="1">
      <formula>AND(ISTEXT($N76),ISBLANK($I76))</formula>
    </cfRule>
  </conditionalFormatting>
  <conditionalFormatting sqref="N84:N88">
    <cfRule type="expression" dxfId="40" priority="7" stopIfTrue="1">
      <formula>AND(ISTEXT($I84),ISBLANK($N84))</formula>
    </cfRule>
    <cfRule type="expression" dxfId="39" priority="8" stopIfTrue="1">
      <formula>AND(ISTEXT($I84),ISTEXT($N84))</formula>
    </cfRule>
    <cfRule type="expression" dxfId="38" priority="9" stopIfTrue="1">
      <formula>AND(ISTEXT($N84),ISBLANK($I84))</formula>
    </cfRule>
  </conditionalFormatting>
  <conditionalFormatting sqref="P91:P105">
    <cfRule type="expression" dxfId="37" priority="4" stopIfTrue="1">
      <formula>AND($N$63="ventilatorgestützte Lüftung",ISNUMBER(P91))</formula>
    </cfRule>
    <cfRule type="expression" dxfId="36" priority="3">
      <formula>AND($N$63="ventilatorgestützte Lüftung",ISBLANK(P91),ISTEXT(N91))</formula>
    </cfRule>
  </conditionalFormatting>
  <conditionalFormatting sqref="B95:B97">
    <cfRule type="expression" dxfId="35" priority="2" stopIfTrue="1">
      <formula>AND($A$94="fR,EG auswählen",ISBLANK(B95))</formula>
    </cfRule>
    <cfRule type="expression" dxfId="34" priority="1">
      <formula>AND($A$94="fR,EG auswählen",ISNUMBER(B95))</formula>
    </cfRule>
  </conditionalFormatting>
  <dataValidations xWindow="641" yWindow="270" count="20">
    <dataValidation type="list" allowBlank="1" showInputMessage="1" showErrorMessage="1" promptTitle="Hinweis:" prompt="Wärmeschutz hoch:_x000a_   - &quot;Gebäude mit Wärmedämmung mindestens nach WSchV 95&quot;_x000a__x000a_Wärmeschutz gering:_x000a_   - &quot;alle anderen Gebäude&quot;" sqref="Q38:S38">
      <formula1>$V$41:$X$41</formula1>
    </dataValidation>
    <dataValidation type="list" allowBlank="1" showInputMessage="1" showErrorMessage="1" sqref="N91:N105">
      <formula1>$W$88:$W$94</formula1>
    </dataValidation>
    <dataValidation type="list" allowBlank="1" showInputMessage="1" showErrorMessage="1" sqref="D81:F81">
      <formula1>$W$72:$W$77</formula1>
    </dataValidation>
    <dataValidation type="list" allowBlank="1" showInputMessage="1" showErrorMessage="1" sqref="I46:K46 N70:O70">
      <formula1>$V$46:$X$46</formula1>
    </dataValidation>
    <dataValidation type="list" allowBlank="1" showInputMessage="1" showErrorMessage="1" sqref="I35:J35">
      <formula1>$V$35:$X$35</formula1>
    </dataValidation>
    <dataValidation type="decimal" operator="lessThanOrEqual" allowBlank="1" showErrorMessage="1" promptTitle="Hinweis:" prompt="Eingabe der Gebäude-_x000a_höhe bis 100m zulässig !" sqref="I36:K36">
      <formula1>100</formula1>
    </dataValidation>
    <dataValidation type="list" allowBlank="1" showInputMessage="1" showErrorMessage="1" promptTitle="Hinweis:" prompt="für die Einordnung in windschwach/ windstark bitte Tabellenblatt Winddaten beachten !" sqref="I37:L37">
      <formula1>$V$37:$X$37</formula1>
    </dataValidation>
    <dataValidation type="list" allowBlank="1" showInputMessage="1" showErrorMessage="1" sqref="I38:L38">
      <formula1>$V$38:$Y$38</formula1>
    </dataValidation>
    <dataValidation type="whole" allowBlank="1" showInputMessage="1" showErrorMessage="1" sqref="Q41">
      <formula1>0</formula1>
      <formula2>20</formula2>
    </dataValidation>
    <dataValidation type="decimal" allowBlank="1" showInputMessage="1" showErrorMessage="1" sqref="Q43">
      <formula1>1.8</formula1>
      <formula2>3.8</formula2>
    </dataValidation>
    <dataValidation type="list" allowBlank="1" showInputMessage="1" showErrorMessage="1" promptTitle="Hinweis:" prompt="offen: Gebäude liegt außerhalb des Wirkungsbereiches einer Nachbarbebauung_x000a__x000a_normal: Gebäude im Freien, umgeben von Bäumen bzw. anderen Gebäuden_x000a__x000a_geschützt: inneres Stadtzentrum bzw. dichte Waldlage" sqref="Q37:S37">
      <formula1>$V$39:$Y$39</formula1>
    </dataValidation>
    <dataValidation allowBlank="1" showInputMessage="1" showErrorMessage="1" promptTitle="Hinweis:" prompt="(lichte) Fläche aller direkt und indirekt beheizten Räume einer Nutzungseinheit innerhalb der Gebäudehülle" sqref="I41:K41"/>
    <dataValidation type="list" operator="lessThanOrEqual" allowBlank="1" showErrorMessage="1" promptTitle="Hinweis:" prompt="Eingabe der Gebäude-_x000a_höhe bis 100m zulässig !" sqref="I43:K43">
      <formula1>$V$40:$Y$40</formula1>
    </dataValidation>
    <dataValidation type="list" allowBlank="1" showInputMessage="1" showErrorMessage="1" sqref="N33:S33">
      <formula1>$V$33:$X$33</formula1>
    </dataValidation>
    <dataValidation type="list" allowBlank="1" showInputMessage="1" showErrorMessage="1" sqref="N74:O88">
      <formula1>$W$71:$W$78</formula1>
    </dataValidation>
    <dataValidation type="list" operator="lessThanOrEqual" allowBlank="1" showInputMessage="1" showErrorMessage="1" promptTitle="Hinweis:" prompt="eingeschossig: Luftaustausch findet nicht über ein Geschoss hinaus statt_x000a__x000a_mehrgeschossig: Luftaustausch ist über mehrere verbundene Geschosse möglich (häufig EFH)" sqref="Q42:S42">
      <formula1>$V$42:$X$42</formula1>
    </dataValidation>
    <dataValidation type="list" allowBlank="1" showInputMessage="1" showErrorMessage="1" sqref="P91:P105">
      <formula1>IF(OR(ISBLANK($N91),$N$63="freie Lüftung"),"",IF(OR($N91="Arbeitszimmer",$N91="Gästezimmer",$N91="Esszimmer"),$AB$88:$AD$88,IF(OR($N91="Schlafzimmer",$N91="Kinderzimmer"),$AB$86:$AF$86,IF($N91="Wohnzimmer",$AB$87:$AD$87,0))))</formula1>
    </dataValidation>
    <dataValidation type="list" allowBlank="1" showInputMessage="1" showErrorMessage="1" sqref="L91:L105 L74:L88">
      <formula1>$AB$97:$AB$98</formula1>
    </dataValidation>
    <dataValidation type="list" allowBlank="1" showInputMessage="1" showErrorMessage="1" sqref="B95:B96">
      <formula1>IF($A$94="fR,EG auswählen",AB91:AD91,"")</formula1>
    </dataValidation>
    <dataValidation type="list" allowBlank="1" showInputMessage="1" showErrorMessage="1" sqref="B97">
      <formula1>IF($A$94="fR,EG auswählen",AB93:AF93,"")</formula1>
    </dataValidation>
  </dataValidations>
  <pageMargins left="0.7" right="0.7" top="0.75" bottom="0.75" header="0.3" footer="0.3"/>
  <pageSetup paperSize="9" scale="75" fitToHeight="2" orientation="portrait" horizontalDpi="300" verticalDpi="300" r:id="rId1"/>
  <headerFooter alignWithMargins="0">
    <oddFooter>&amp;L&amp;F - &amp;A&amp;R&amp;P</oddFooter>
  </headerFooter>
  <rowBreaks count="1" manualBreakCount="1">
    <brk id="61" max="18" man="1"/>
  </rowBreaks>
  <drawing r:id="rId2"/>
  <legacyDrawing r:id="rId3"/>
  <controls>
    <mc:AlternateContent xmlns:mc="http://schemas.openxmlformats.org/markup-compatibility/2006">
      <mc:Choice Requires="x14">
        <control shapeId="1243" r:id="rId4" name="OptionButton3">
          <controlPr locked="0" defaultSize="0" autoLine="0" linkedCell="Z65" r:id="rId5">
            <anchor moveWithCells="1">
              <from>
                <xdr:col>16</xdr:col>
                <xdr:colOff>57150</xdr:colOff>
                <xdr:row>66</xdr:row>
                <xdr:rowOff>28575</xdr:rowOff>
              </from>
              <to>
                <xdr:col>16</xdr:col>
                <xdr:colOff>419100</xdr:colOff>
                <xdr:row>66</xdr:row>
                <xdr:rowOff>171450</xdr:rowOff>
              </to>
            </anchor>
          </controlPr>
        </control>
      </mc:Choice>
      <mc:Fallback>
        <control shapeId="1243" r:id="rId4" name="OptionButton3"/>
      </mc:Fallback>
    </mc:AlternateContent>
    <mc:AlternateContent xmlns:mc="http://schemas.openxmlformats.org/markup-compatibility/2006">
      <mc:Choice Requires="x14">
        <control shapeId="1242" r:id="rId6" name="OptionButton2">
          <controlPr locked="0" defaultSize="0" autoLine="0" linkedCell="Z66" r:id="rId7">
            <anchor moveWithCells="1">
              <from>
                <xdr:col>16</xdr:col>
                <xdr:colOff>57150</xdr:colOff>
                <xdr:row>67</xdr:row>
                <xdr:rowOff>28575</xdr:rowOff>
              </from>
              <to>
                <xdr:col>16</xdr:col>
                <xdr:colOff>419100</xdr:colOff>
                <xdr:row>67</xdr:row>
                <xdr:rowOff>171450</xdr:rowOff>
              </to>
            </anchor>
          </controlPr>
        </control>
      </mc:Choice>
      <mc:Fallback>
        <control shapeId="1242" r:id="rId6" name="OptionButton2"/>
      </mc:Fallback>
    </mc:AlternateContent>
    <mc:AlternateContent xmlns:mc="http://schemas.openxmlformats.org/markup-compatibility/2006">
      <mc:Choice Requires="x14">
        <control shapeId="1241" r:id="rId8" name="OptionButton1">
          <controlPr locked="0" defaultSize="0" autoLine="0" linkedCell="Z64" r:id="rId5">
            <anchor moveWithCells="1">
              <from>
                <xdr:col>16</xdr:col>
                <xdr:colOff>57150</xdr:colOff>
                <xdr:row>65</xdr:row>
                <xdr:rowOff>28575</xdr:rowOff>
              </from>
              <to>
                <xdr:col>16</xdr:col>
                <xdr:colOff>419100</xdr:colOff>
                <xdr:row>65</xdr:row>
                <xdr:rowOff>171450</xdr:rowOff>
              </to>
            </anchor>
          </controlPr>
        </control>
      </mc:Choice>
      <mc:Fallback>
        <control shapeId="1241" r:id="rId8" name="OptionButton1"/>
      </mc:Fallback>
    </mc:AlternateContent>
    <mc:AlternateContent xmlns:mc="http://schemas.openxmlformats.org/markup-compatibility/2006">
      <mc:Choice Requires="x14">
        <control shapeId="1076" r:id="rId9" name="OptionButton5">
          <controlPr locked="0" defaultSize="0" autoLine="0" linkedCell="X66" r:id="rId5">
            <anchor moveWithCells="1">
              <from>
                <xdr:col>11</xdr:col>
                <xdr:colOff>85725</xdr:colOff>
                <xdr:row>67</xdr:row>
                <xdr:rowOff>28575</xdr:rowOff>
              </from>
              <to>
                <xdr:col>12</xdr:col>
                <xdr:colOff>0</xdr:colOff>
                <xdr:row>67</xdr:row>
                <xdr:rowOff>171450</xdr:rowOff>
              </to>
            </anchor>
          </controlPr>
        </control>
      </mc:Choice>
      <mc:Fallback>
        <control shapeId="1076" r:id="rId9" name="OptionButton5"/>
      </mc:Fallback>
    </mc:AlternateContent>
    <mc:AlternateContent xmlns:mc="http://schemas.openxmlformats.org/markup-compatibility/2006">
      <mc:Choice Requires="x14">
        <control shapeId="1075" r:id="rId10" name="OptionButton4">
          <controlPr locked="0" defaultSize="0" autoLine="0" linkedCell="X65" r:id="rId5">
            <anchor moveWithCells="1">
              <from>
                <xdr:col>11</xdr:col>
                <xdr:colOff>85725</xdr:colOff>
                <xdr:row>66</xdr:row>
                <xdr:rowOff>28575</xdr:rowOff>
              </from>
              <to>
                <xdr:col>12</xdr:col>
                <xdr:colOff>0</xdr:colOff>
                <xdr:row>66</xdr:row>
                <xdr:rowOff>171450</xdr:rowOff>
              </to>
            </anchor>
          </controlPr>
        </control>
      </mc:Choice>
      <mc:Fallback>
        <control shapeId="1075" r:id="rId10" name="OptionButton4"/>
      </mc:Fallback>
    </mc:AlternateContent>
    <mc:AlternateContent xmlns:mc="http://schemas.openxmlformats.org/markup-compatibility/2006">
      <mc:Choice Requires="x14">
        <control shapeId="1073" r:id="rId11" name="OB3">
          <controlPr locked="0" defaultSize="0" autoLine="0" linkedCell="X64" r:id="rId7">
            <anchor moveWithCells="1">
              <from>
                <xdr:col>11</xdr:col>
                <xdr:colOff>85725</xdr:colOff>
                <xdr:row>65</xdr:row>
                <xdr:rowOff>28575</xdr:rowOff>
              </from>
              <to>
                <xdr:col>12</xdr:col>
                <xdr:colOff>0</xdr:colOff>
                <xdr:row>65</xdr:row>
                <xdr:rowOff>171450</xdr:rowOff>
              </to>
            </anchor>
          </controlPr>
        </control>
      </mc:Choice>
      <mc:Fallback>
        <control shapeId="1073" r:id="rId11" name="OB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M110"/>
  <sheetViews>
    <sheetView showGridLines="0" zoomScaleNormal="100" zoomScaleSheetLayoutView="100" workbookViewId="0"/>
  </sheetViews>
  <sheetFormatPr baseColWidth="10" defaultRowHeight="12.75" x14ac:dyDescent="0.2"/>
  <cols>
    <col min="1" max="1" width="8.7109375" customWidth="1"/>
    <col min="2" max="2" width="7.7109375" customWidth="1"/>
    <col min="3" max="4" width="4.7109375" customWidth="1"/>
    <col min="5" max="5" width="5.7109375" customWidth="1"/>
    <col min="6" max="6" width="1.7109375" customWidth="1"/>
    <col min="7" max="7" width="9.7109375" customWidth="1"/>
    <col min="8" max="8" width="1.7109375" customWidth="1"/>
    <col min="9" max="9" width="8.7109375" customWidth="1"/>
    <col min="10" max="10" width="1.7109375" customWidth="1"/>
    <col min="11" max="11" width="7.7109375" customWidth="1"/>
    <col min="12" max="12" width="6.7109375" customWidth="1"/>
    <col min="13" max="13" width="1.7109375" customWidth="1"/>
    <col min="14" max="15" width="9.7109375" customWidth="1"/>
    <col min="16" max="16" width="1.7109375" customWidth="1"/>
    <col min="17" max="17" width="14.7109375" customWidth="1"/>
    <col min="18" max="18" width="1.7109375" customWidth="1"/>
    <col min="19" max="19" width="6.7109375" customWidth="1"/>
    <col min="21" max="21" width="11.42578125" hidden="1" customWidth="1"/>
    <col min="22" max="22" width="15.28515625" hidden="1" customWidth="1"/>
    <col min="23" max="23" width="17.140625" hidden="1" customWidth="1"/>
    <col min="24" max="24" width="16.42578125" hidden="1" customWidth="1"/>
    <col min="25" max="25" width="16.85546875" hidden="1" customWidth="1"/>
    <col min="26" max="26" width="12.28515625" hidden="1" customWidth="1"/>
    <col min="27" max="27" width="19.85546875" hidden="1" customWidth="1"/>
    <col min="28" max="29" width="11.42578125" hidden="1" customWidth="1"/>
    <col min="30" max="30" width="15" hidden="1" customWidth="1"/>
    <col min="31" max="31" width="13.7109375" hidden="1" customWidth="1"/>
    <col min="32" max="32" width="14.85546875" hidden="1" customWidth="1"/>
    <col min="33" max="33" width="13.42578125" hidden="1" customWidth="1"/>
    <col min="34" max="34" width="15.85546875" hidden="1" customWidth="1"/>
    <col min="35" max="35" width="10.5703125" hidden="1" customWidth="1"/>
    <col min="36" max="39" width="11.42578125" hidden="1" customWidth="1"/>
    <col min="40" max="40" width="11.42578125" customWidth="1"/>
  </cols>
  <sheetData>
    <row r="1" spans="1:36" ht="20.25" x14ac:dyDescent="0.3">
      <c r="A1" s="264" t="s">
        <v>457</v>
      </c>
      <c r="B1" s="54"/>
      <c r="C1" s="54"/>
      <c r="D1" s="54"/>
      <c r="E1" s="54"/>
      <c r="F1" s="54"/>
      <c r="G1" s="50"/>
      <c r="H1" s="50"/>
      <c r="I1" s="265" t="s">
        <v>458</v>
      </c>
      <c r="J1" s="50"/>
      <c r="K1" s="50"/>
      <c r="L1" s="50"/>
      <c r="M1" s="50"/>
      <c r="N1" s="50"/>
      <c r="O1" s="50"/>
    </row>
    <row r="2" spans="1:36" ht="35.1" customHeight="1" thickBot="1" x14ac:dyDescent="0.25"/>
    <row r="3" spans="1:36" ht="18.75" customHeight="1" x14ac:dyDescent="0.2">
      <c r="A3" s="6" t="str">
        <f>IF(Eingabe!L108="Ausgabe freie Lüftung und Ausgabe vg R-LG","Bestimmung der Gesamt-Außenluftvolumenströme frei belüftete Räume:","Bestimmung der Gesamt-Außenluftvolumenströme:")</f>
        <v>Bestimmung der Gesamt-Außenluftvolumenströme:</v>
      </c>
      <c r="V3" s="120"/>
      <c r="W3" s="134" t="s">
        <v>57</v>
      </c>
      <c r="X3" s="135"/>
      <c r="Y3" s="135"/>
      <c r="Z3" s="136"/>
    </row>
    <row r="4" spans="1:36" ht="9.9499999999999993" customHeight="1" x14ac:dyDescent="0.2">
      <c r="V4" s="131"/>
      <c r="W4" s="149" t="s">
        <v>333</v>
      </c>
      <c r="X4" s="19"/>
      <c r="Y4" s="64" t="s">
        <v>432</v>
      </c>
      <c r="Z4" s="150"/>
    </row>
    <row r="5" spans="1:36" ht="18" customHeight="1" x14ac:dyDescent="0.2">
      <c r="A5" s="36"/>
      <c r="B5" s="11"/>
      <c r="C5" s="11"/>
      <c r="D5" s="490" t="s">
        <v>379</v>
      </c>
      <c r="E5" s="490"/>
      <c r="F5" s="490"/>
      <c r="G5" s="490"/>
      <c r="H5" s="490"/>
      <c r="I5" s="490"/>
      <c r="J5" s="490"/>
      <c r="K5" s="490"/>
      <c r="L5" s="490"/>
      <c r="M5" s="203"/>
      <c r="N5" s="487" t="str">
        <f>IF(Eingabe!$L$108="Ausgabe freie Lüftung",Eingabe!$X$67,IF(Eingabe!$L$108="Ausgabe freie Lüftung und Ausgabe vg R-LG",Eingabe!$X$67,"siehe Ausgabe vg Lüftung!"))</f>
        <v>siehe Ausgabe vg Lüftung!</v>
      </c>
      <c r="O5" s="488"/>
      <c r="P5" s="488"/>
      <c r="Q5" s="488"/>
      <c r="R5" s="488"/>
      <c r="S5" s="489"/>
      <c r="V5" s="131"/>
      <c r="W5" s="44" t="s">
        <v>335</v>
      </c>
      <c r="X5" s="207" t="str">
        <f>Eingabe!X108</f>
        <v>-</v>
      </c>
      <c r="Y5" s="44" t="s">
        <v>341</v>
      </c>
      <c r="Z5" s="295">
        <f>Eingabe!Z108</f>
        <v>55</v>
      </c>
    </row>
    <row r="6" spans="1:36" ht="9.9499999999999993" customHeight="1" x14ac:dyDescent="0.2">
      <c r="A6" s="51"/>
      <c r="B6" s="50"/>
      <c r="C6" s="50"/>
      <c r="D6" s="50"/>
      <c r="E6" s="50"/>
      <c r="F6" s="50"/>
      <c r="G6" s="50"/>
      <c r="H6" s="50"/>
      <c r="I6" s="50"/>
      <c r="J6" s="50"/>
      <c r="K6" s="50"/>
      <c r="L6" s="50"/>
      <c r="M6" s="50"/>
      <c r="N6" s="50"/>
      <c r="O6" s="50"/>
      <c r="P6" s="50"/>
      <c r="Q6" s="50"/>
      <c r="R6" s="50"/>
      <c r="S6" s="52"/>
      <c r="V6" s="131" t="s">
        <v>301</v>
      </c>
      <c r="W6" s="209" t="s">
        <v>337</v>
      </c>
      <c r="X6" s="4">
        <f>Eingabe!X109</f>
        <v>0</v>
      </c>
      <c r="Y6" s="63" t="s">
        <v>430</v>
      </c>
      <c r="Z6" s="138">
        <f>Eingabe!Z109</f>
        <v>0</v>
      </c>
    </row>
    <row r="7" spans="1:36" ht="15" customHeight="1" x14ac:dyDescent="0.2">
      <c r="A7" s="51"/>
      <c r="B7" s="50"/>
      <c r="C7" s="50"/>
      <c r="D7" s="491" t="s">
        <v>329</v>
      </c>
      <c r="E7" s="491"/>
      <c r="F7" s="491"/>
      <c r="G7" s="491"/>
      <c r="H7" s="491"/>
      <c r="I7" s="491"/>
      <c r="J7" s="4"/>
      <c r="K7" s="61" t="s">
        <v>345</v>
      </c>
      <c r="L7" s="94" t="s">
        <v>349</v>
      </c>
      <c r="M7" s="83" t="s">
        <v>346</v>
      </c>
      <c r="N7" s="480" t="str">
        <f>IF(OR(OR(Eingabe!$L$108="Ausgabe freie Lüftung",Eingabe!L108="Ausgabe freie Lüftung und Ausgabe vg R-LG"),Eingabe!L108="Ausgabe freie Lüftung und Ausgabe vg R-LG"),IF(ISNUMBER($X$8),$X$8,0),"-")</f>
        <v>-</v>
      </c>
      <c r="O7" s="481"/>
      <c r="P7" s="4"/>
      <c r="Q7" s="84" t="s">
        <v>330</v>
      </c>
      <c r="R7" s="50"/>
      <c r="S7" s="52"/>
      <c r="V7" s="131" t="s">
        <v>303</v>
      </c>
      <c r="W7" s="210" t="s">
        <v>338</v>
      </c>
      <c r="X7" s="4">
        <f>Eingabe!X110</f>
        <v>0</v>
      </c>
      <c r="Y7" s="37" t="s">
        <v>344</v>
      </c>
      <c r="Z7" s="138">
        <f>Eingabe!Z110</f>
        <v>55</v>
      </c>
    </row>
    <row r="8" spans="1:36" ht="9.9499999999999993" customHeight="1" x14ac:dyDescent="0.2">
      <c r="A8" s="51"/>
      <c r="B8" s="50"/>
      <c r="C8" s="50"/>
      <c r="D8" s="4"/>
      <c r="E8" s="4"/>
      <c r="F8" s="4"/>
      <c r="G8" s="4"/>
      <c r="H8" s="4"/>
      <c r="I8" s="4"/>
      <c r="J8" s="4"/>
      <c r="K8" s="4"/>
      <c r="L8" s="89"/>
      <c r="M8" s="4"/>
      <c r="N8" s="4"/>
      <c r="O8" s="4"/>
      <c r="P8" s="4"/>
      <c r="Q8" s="4"/>
      <c r="R8" s="50"/>
      <c r="S8" s="52"/>
      <c r="V8" s="131"/>
      <c r="W8" s="9" t="s">
        <v>339</v>
      </c>
      <c r="X8" s="4">
        <f>Eingabe!X111</f>
        <v>0</v>
      </c>
      <c r="Y8" s="9" t="s">
        <v>335</v>
      </c>
      <c r="Z8" s="138">
        <f>Eingabe!Z111</f>
        <v>0</v>
      </c>
    </row>
    <row r="9" spans="1:36" ht="15" customHeight="1" x14ac:dyDescent="0.2">
      <c r="A9" s="51"/>
      <c r="B9" s="50"/>
      <c r="C9" s="50"/>
      <c r="D9" s="491" t="s">
        <v>331</v>
      </c>
      <c r="E9" s="491"/>
      <c r="F9" s="491"/>
      <c r="G9" s="491"/>
      <c r="H9" s="491"/>
      <c r="I9" s="491"/>
      <c r="J9" s="4"/>
      <c r="K9" s="61" t="s">
        <v>345</v>
      </c>
      <c r="L9" s="94" t="s">
        <v>348</v>
      </c>
      <c r="M9" s="4" t="s">
        <v>346</v>
      </c>
      <c r="N9" s="480" t="str">
        <f>IF(OR(OR(Eingabe!$L$108="Ausgabe freie Lüftung",Eingabe!L108="Ausgabe freie Lüftung und Ausgabe vg R-LG"),Eingabe!L108="Ausgabe freie Lüftung und Ausgabe vg R-LG"),IF(ISNUMBER($X$12),$X$12,0),"-")</f>
        <v>-</v>
      </c>
      <c r="O9" s="481"/>
      <c r="P9" s="4"/>
      <c r="Q9" s="84" t="s">
        <v>330</v>
      </c>
      <c r="R9" s="50"/>
      <c r="S9" s="52"/>
      <c r="V9" s="131"/>
      <c r="W9" s="9" t="s">
        <v>340</v>
      </c>
      <c r="X9" s="4">
        <f>Eingabe!X112</f>
        <v>38.5</v>
      </c>
      <c r="Y9" s="9" t="s">
        <v>340</v>
      </c>
      <c r="Z9" s="138">
        <f>Eingabe!Z112</f>
        <v>38.5</v>
      </c>
    </row>
    <row r="10" spans="1:36" ht="9.9499999999999993" customHeight="1" x14ac:dyDescent="0.2">
      <c r="A10" s="51"/>
      <c r="B10" s="50"/>
      <c r="C10" s="50"/>
      <c r="D10" s="4"/>
      <c r="E10" s="4"/>
      <c r="F10" s="4"/>
      <c r="G10" s="4"/>
      <c r="H10" s="4"/>
      <c r="I10" s="4"/>
      <c r="J10" s="4"/>
      <c r="K10" s="4"/>
      <c r="L10" s="89"/>
      <c r="M10" s="4"/>
      <c r="N10" s="4"/>
      <c r="O10" s="4"/>
      <c r="P10" s="4"/>
      <c r="Q10" s="4"/>
      <c r="R10" s="50"/>
      <c r="S10" s="52"/>
      <c r="V10" s="131"/>
      <c r="W10" s="9" t="s">
        <v>341</v>
      </c>
      <c r="X10" s="4">
        <f>Eingabe!X113</f>
        <v>55</v>
      </c>
      <c r="Y10" s="9" t="s">
        <v>342</v>
      </c>
      <c r="Z10" s="138">
        <f>Eingabe!Z113</f>
        <v>71.5</v>
      </c>
    </row>
    <row r="11" spans="1:36" ht="15" customHeight="1" x14ac:dyDescent="0.2">
      <c r="A11" s="51"/>
      <c r="B11" s="50"/>
      <c r="C11" s="50"/>
      <c r="D11" s="491" t="s">
        <v>332</v>
      </c>
      <c r="E11" s="491"/>
      <c r="F11" s="491"/>
      <c r="G11" s="491"/>
      <c r="H11" s="491"/>
      <c r="I11" s="491"/>
      <c r="J11" s="4"/>
      <c r="K11" s="61" t="s">
        <v>345</v>
      </c>
      <c r="L11" s="94" t="s">
        <v>347</v>
      </c>
      <c r="M11" s="4" t="s">
        <v>346</v>
      </c>
      <c r="N11" s="480" t="str">
        <f>IF(OR(OR(Eingabe!$L$108="Ausgabe freie Lüftung",Eingabe!L108="Ausgabe freie Lüftung und Ausgabe vg R-LG"),Eingabe!L108="Ausgabe freie Lüftung und Ausgabe vg R-LG"),IF(ISNUMBER($X$13),$X$13,0),"-")</f>
        <v>-</v>
      </c>
      <c r="O11" s="481"/>
      <c r="P11" s="4"/>
      <c r="Q11" s="84" t="s">
        <v>330</v>
      </c>
      <c r="R11" s="50"/>
      <c r="S11" s="52"/>
      <c r="V11" s="131"/>
      <c r="W11" s="9" t="s">
        <v>342</v>
      </c>
      <c r="X11" s="4">
        <f>Eingabe!X114</f>
        <v>71.5</v>
      </c>
      <c r="Y11" s="9" t="s">
        <v>339</v>
      </c>
      <c r="Z11" s="138">
        <f>Eingabe!Z114</f>
        <v>0</v>
      </c>
    </row>
    <row r="12" spans="1:36" ht="9.9499999999999993" customHeight="1" x14ac:dyDescent="0.2">
      <c r="A12" s="53"/>
      <c r="B12" s="54"/>
      <c r="C12" s="54"/>
      <c r="D12" s="90"/>
      <c r="E12" s="90"/>
      <c r="F12" s="90"/>
      <c r="G12" s="90"/>
      <c r="H12" s="90"/>
      <c r="I12" s="90"/>
      <c r="J12" s="17"/>
      <c r="K12" s="17"/>
      <c r="L12" s="254"/>
      <c r="M12" s="17"/>
      <c r="N12" s="17"/>
      <c r="O12" s="17"/>
      <c r="P12" s="17"/>
      <c r="Q12" s="17"/>
      <c r="R12" s="54"/>
      <c r="S12" s="60"/>
      <c r="V12" s="131"/>
      <c r="W12" s="9" t="s">
        <v>343</v>
      </c>
      <c r="X12" s="4" t="e">
        <f>Eingabe!X115</f>
        <v>#VALUE!</v>
      </c>
      <c r="Y12" s="9" t="s">
        <v>343</v>
      </c>
      <c r="Z12" s="138">
        <f>Eingabe!Z115</f>
        <v>38.5</v>
      </c>
    </row>
    <row r="13" spans="1:36" ht="18" customHeight="1" thickBot="1" x14ac:dyDescent="0.25">
      <c r="V13" s="133"/>
      <c r="W13" s="278" t="s">
        <v>344</v>
      </c>
      <c r="X13" s="142" t="e">
        <f>Eingabe!X116</f>
        <v>#VALUE!</v>
      </c>
      <c r="Y13" s="278" t="s">
        <v>431</v>
      </c>
      <c r="Z13" s="143">
        <f>Eingabe!Z116</f>
        <v>71.5</v>
      </c>
    </row>
    <row r="14" spans="1:36" ht="18" customHeight="1" x14ac:dyDescent="0.2">
      <c r="W14" s="4"/>
    </row>
    <row r="15" spans="1:36" ht="18.75" customHeight="1" thickBot="1" x14ac:dyDescent="0.25">
      <c r="A15" s="6" t="s">
        <v>351</v>
      </c>
      <c r="W15" s="188"/>
    </row>
    <row r="16" spans="1:36" ht="9.9499999999999993" customHeight="1" thickBot="1" x14ac:dyDescent="0.25">
      <c r="V16" s="284" t="s">
        <v>352</v>
      </c>
      <c r="W16" s="285"/>
      <c r="X16" s="286"/>
      <c r="Y16" s="50"/>
      <c r="Z16" s="50"/>
      <c r="AA16" s="50"/>
      <c r="AB16" s="50"/>
      <c r="AD16" s="134" t="s">
        <v>34</v>
      </c>
      <c r="AE16" s="135" t="s">
        <v>370</v>
      </c>
      <c r="AF16" s="135"/>
      <c r="AG16" s="135"/>
      <c r="AH16" s="155"/>
      <c r="AI16" s="154"/>
      <c r="AJ16" s="121"/>
    </row>
    <row r="17" spans="1:36" ht="18" customHeight="1" x14ac:dyDescent="0.2">
      <c r="A17" s="36"/>
      <c r="B17" s="11"/>
      <c r="C17" s="11"/>
      <c r="D17" s="484" t="s">
        <v>379</v>
      </c>
      <c r="E17" s="485"/>
      <c r="F17" s="485"/>
      <c r="G17" s="485"/>
      <c r="H17" s="485"/>
      <c r="I17" s="485"/>
      <c r="J17" s="485"/>
      <c r="K17" s="485"/>
      <c r="L17" s="486"/>
      <c r="M17" s="11"/>
      <c r="N17" s="487" t="str">
        <f>IF(Eingabe!$L$108="Ausgabe freie Lüftung",Eingabe!$X$67,IF(Eingabe!$L$108="Ausgabe freie Lüftung und Ausgabe vg R-LG",Eingabe!$X$67,"siehe Ausgabe vg Lüftung!"))</f>
        <v>siehe Ausgabe vg Lüftung!</v>
      </c>
      <c r="O17" s="488"/>
      <c r="P17" s="488"/>
      <c r="Q17" s="488"/>
      <c r="R17" s="488"/>
      <c r="S17" s="489"/>
      <c r="V17" s="131" t="s">
        <v>62</v>
      </c>
      <c r="W17" s="80" t="b">
        <f>Eingabe!W120</f>
        <v>0</v>
      </c>
      <c r="X17" s="126"/>
      <c r="Y17" s="50"/>
      <c r="Z17" s="50"/>
      <c r="AA17" s="50"/>
      <c r="AB17" s="50"/>
      <c r="AD17" s="139" t="s">
        <v>354</v>
      </c>
      <c r="AE17" s="4"/>
      <c r="AF17" s="4"/>
      <c r="AG17" s="4"/>
      <c r="AH17" s="15"/>
      <c r="AI17" s="50"/>
      <c r="AJ17" s="126"/>
    </row>
    <row r="18" spans="1:36" ht="9.9499999999999993" customHeight="1" x14ac:dyDescent="0.2">
      <c r="A18" s="51"/>
      <c r="B18" s="50"/>
      <c r="C18" s="50"/>
      <c r="D18" s="50"/>
      <c r="E18" s="50"/>
      <c r="F18" s="50"/>
      <c r="G18" s="50"/>
      <c r="H18" s="50"/>
      <c r="I18" s="50"/>
      <c r="J18" s="50"/>
      <c r="K18" s="50"/>
      <c r="L18" s="50"/>
      <c r="M18" s="50"/>
      <c r="N18" s="50"/>
      <c r="O18" s="50"/>
      <c r="P18" s="50"/>
      <c r="Q18" s="50"/>
      <c r="R18" s="50"/>
      <c r="S18" s="52"/>
      <c r="V18" s="131" t="s">
        <v>61</v>
      </c>
      <c r="W18" s="81">
        <f>Eingabe!W121</f>
        <v>0</v>
      </c>
      <c r="X18" s="126"/>
      <c r="Y18" s="50"/>
      <c r="Z18" s="50"/>
      <c r="AA18" s="50"/>
      <c r="AB18" s="50"/>
      <c r="AD18" s="139"/>
      <c r="AE18" s="4"/>
      <c r="AF18" s="4"/>
      <c r="AG18" s="4"/>
      <c r="AH18" s="15"/>
      <c r="AI18" s="50"/>
      <c r="AJ18" s="126"/>
    </row>
    <row r="19" spans="1:36" ht="15" customHeight="1" x14ac:dyDescent="0.2">
      <c r="A19" s="51"/>
      <c r="B19" s="50"/>
      <c r="C19" s="50"/>
      <c r="D19" s="4"/>
      <c r="E19" s="4"/>
      <c r="F19" s="4"/>
      <c r="G19" s="82" t="s">
        <v>329</v>
      </c>
      <c r="H19" s="33"/>
      <c r="I19" s="82" t="s">
        <v>376</v>
      </c>
      <c r="J19" s="4"/>
      <c r="K19" s="61" t="s">
        <v>345</v>
      </c>
      <c r="L19" s="94" t="s">
        <v>378</v>
      </c>
      <c r="M19" s="83" t="s">
        <v>346</v>
      </c>
      <c r="N19" s="480" t="str">
        <f>IF(OR(OR(Eingabe!$L$108="Ausgabe freie Lüftung",Eingabe!L108="Ausgabe freie Lüftung und Ausgabe vg R-LG"),Eingabe!L108="Ausgabe freie Lüftung und Ausgabe vg R-LG"),MAX((IF(Eingabe!$X$67="Schachtlüftung",$N$7-$X$26,$N$7-$W$26)),0),"-")</f>
        <v>-</v>
      </c>
      <c r="O19" s="481"/>
      <c r="P19" s="4"/>
      <c r="Q19" s="84" t="s">
        <v>330</v>
      </c>
      <c r="R19" s="50"/>
      <c r="S19" s="52"/>
      <c r="V19" s="151" t="s">
        <v>374</v>
      </c>
      <c r="W19" s="50">
        <f>Eingabe!W122</f>
        <v>0</v>
      </c>
      <c r="X19" s="126"/>
      <c r="Y19" s="50"/>
      <c r="Z19" s="50"/>
      <c r="AA19" s="50"/>
      <c r="AB19" s="50"/>
      <c r="AD19" s="156" t="s">
        <v>355</v>
      </c>
      <c r="AE19" s="362" t="s">
        <v>68</v>
      </c>
      <c r="AF19" s="379"/>
      <c r="AG19" s="362" t="s">
        <v>69</v>
      </c>
      <c r="AH19" s="363"/>
      <c r="AI19" s="363"/>
      <c r="AJ19" s="364"/>
    </row>
    <row r="20" spans="1:36" ht="9.9499999999999993" customHeight="1" x14ac:dyDescent="0.2">
      <c r="A20" s="51"/>
      <c r="B20" s="4"/>
      <c r="C20" s="4"/>
      <c r="D20" s="4"/>
      <c r="E20" s="4"/>
      <c r="F20" s="4"/>
      <c r="G20" s="4"/>
      <c r="H20" s="4"/>
      <c r="I20" s="82"/>
      <c r="J20" s="4"/>
      <c r="K20" s="4"/>
      <c r="L20" s="89"/>
      <c r="M20" s="4"/>
      <c r="N20" s="4"/>
      <c r="O20" s="4"/>
      <c r="P20" s="4"/>
      <c r="Q20" s="4"/>
      <c r="R20" s="50"/>
      <c r="S20" s="52"/>
      <c r="V20" s="139" t="s">
        <v>58</v>
      </c>
      <c r="W20" s="50">
        <f>Eingabe!W123</f>
        <v>0</v>
      </c>
      <c r="X20" s="126"/>
      <c r="Y20" s="50"/>
      <c r="Z20" s="50"/>
      <c r="AA20" s="50"/>
      <c r="AB20" s="50"/>
      <c r="AD20" s="156"/>
      <c r="AE20" s="24" t="s">
        <v>301</v>
      </c>
      <c r="AF20" s="24" t="s">
        <v>356</v>
      </c>
      <c r="AG20" s="24" t="s">
        <v>357</v>
      </c>
      <c r="AH20" s="374" t="s">
        <v>363</v>
      </c>
      <c r="AI20" s="374"/>
      <c r="AJ20" s="375"/>
    </row>
    <row r="21" spans="1:36" ht="15" customHeight="1" x14ac:dyDescent="0.3">
      <c r="A21" s="51"/>
      <c r="B21" s="4"/>
      <c r="C21" s="4"/>
      <c r="D21" s="33"/>
      <c r="E21" s="33"/>
      <c r="F21" s="33"/>
      <c r="G21" s="33"/>
      <c r="H21" s="33"/>
      <c r="I21" s="82" t="s">
        <v>375</v>
      </c>
      <c r="J21" s="4"/>
      <c r="K21" s="61" t="s">
        <v>345</v>
      </c>
      <c r="L21" s="94" t="s">
        <v>378</v>
      </c>
      <c r="M21" s="4" t="s">
        <v>346</v>
      </c>
      <c r="N21" s="480" t="str">
        <f>IF(OR(OR(Eingabe!$L$108="Ausgabe freie Lüftung",Eingabe!L108="Ausgabe freie Lüftung und Ausgabe vg R-LG"),Eingabe!L108="Ausgabe freie Lüftung und Ausgabe vg R-LG"),MAX((IF(Eingabe!$X$67="Schachtlüftung",$N$7-$X$27,$N$7-$W$27)),0),"-")</f>
        <v>-</v>
      </c>
      <c r="O21" s="481"/>
      <c r="P21" s="4"/>
      <c r="Q21" s="84" t="s">
        <v>330</v>
      </c>
      <c r="R21" s="50"/>
      <c r="S21" s="52"/>
      <c r="V21" s="131" t="s">
        <v>353</v>
      </c>
      <c r="W21" s="50">
        <f>Eingabe!W124</f>
        <v>0</v>
      </c>
      <c r="X21" s="126"/>
      <c r="Y21" s="50"/>
      <c r="Z21" s="50"/>
      <c r="AA21" s="50"/>
      <c r="AB21" s="50"/>
      <c r="AD21" s="376" t="s">
        <v>364</v>
      </c>
      <c r="AE21" s="374" t="s">
        <v>365</v>
      </c>
      <c r="AF21" s="374"/>
      <c r="AG21" s="374"/>
      <c r="AH21" s="374" t="s">
        <v>361</v>
      </c>
      <c r="AI21" s="374"/>
      <c r="AJ21" s="378" t="s">
        <v>362</v>
      </c>
    </row>
    <row r="22" spans="1:36" ht="9.9499999999999993" customHeight="1" thickBot="1" x14ac:dyDescent="0.25">
      <c r="A22" s="51"/>
      <c r="B22" s="4"/>
      <c r="C22" s="4"/>
      <c r="D22" s="4"/>
      <c r="E22" s="4"/>
      <c r="F22" s="4"/>
      <c r="G22" s="4"/>
      <c r="H22" s="4"/>
      <c r="I22" s="82"/>
      <c r="J22" s="4"/>
      <c r="K22" s="4"/>
      <c r="L22" s="89"/>
      <c r="M22" s="4"/>
      <c r="N22" s="4"/>
      <c r="O22" s="4"/>
      <c r="P22" s="4"/>
      <c r="Q22" s="4"/>
      <c r="R22" s="50"/>
      <c r="S22" s="52"/>
      <c r="V22" s="131" t="s">
        <v>410</v>
      </c>
      <c r="W22" s="50">
        <f>Eingabe!W125</f>
        <v>0</v>
      </c>
      <c r="X22" s="126"/>
      <c r="Y22" s="50"/>
      <c r="Z22" s="50"/>
      <c r="AA22" s="50"/>
      <c r="AB22" s="50"/>
      <c r="AD22" s="377"/>
      <c r="AE22" s="374"/>
      <c r="AF22" s="374"/>
      <c r="AG22" s="374"/>
      <c r="AH22" s="24" t="s">
        <v>358</v>
      </c>
      <c r="AI22" s="75" t="s">
        <v>359</v>
      </c>
      <c r="AJ22" s="378"/>
    </row>
    <row r="23" spans="1:36" ht="15" customHeight="1" thickBot="1" x14ac:dyDescent="0.25">
      <c r="A23" s="51"/>
      <c r="B23" s="4"/>
      <c r="C23" s="4"/>
      <c r="D23" s="33"/>
      <c r="E23" s="33"/>
      <c r="F23" s="33"/>
      <c r="G23" s="33"/>
      <c r="H23" s="33"/>
      <c r="I23" s="82" t="s">
        <v>377</v>
      </c>
      <c r="J23" s="4"/>
      <c r="K23" s="61" t="s">
        <v>345</v>
      </c>
      <c r="L23" s="94" t="s">
        <v>378</v>
      </c>
      <c r="M23" s="4" t="s">
        <v>346</v>
      </c>
      <c r="N23" s="480" t="str">
        <f>IF(OR(OR(Eingabe!$L$108="Ausgabe freie Lüftung",Eingabe!L108="Ausgabe freie Lüftung und Ausgabe vg R-LG"),Eingabe!L108="Ausgabe freie Lüftung und Ausgabe vg R-LG"),IF(Eingabe!$X$67="Schachtlüftung",MAX(($N$7-$X$28),0),"-"),"-")</f>
        <v>-</v>
      </c>
      <c r="O23" s="481"/>
      <c r="P23" s="4"/>
      <c r="Q23" s="84" t="s">
        <v>330</v>
      </c>
      <c r="R23" s="50"/>
      <c r="S23" s="52"/>
      <c r="V23" s="151" t="s">
        <v>371</v>
      </c>
      <c r="W23" s="78">
        <f>Eingabe!W126</f>
        <v>0</v>
      </c>
      <c r="X23" s="78">
        <f>Eingabe!X126</f>
        <v>0</v>
      </c>
      <c r="Y23" s="205">
        <f>Eingabe!Y126</f>
        <v>0</v>
      </c>
      <c r="Z23" s="205">
        <f>Eingabe!Z126</f>
        <v>0</v>
      </c>
      <c r="AA23" s="205">
        <f>Eingabe!AA126</f>
        <v>0</v>
      </c>
      <c r="AB23" s="206">
        <f>Eingabe!AB126</f>
        <v>0</v>
      </c>
      <c r="AD23" s="377"/>
      <c r="AE23" s="374"/>
      <c r="AF23" s="374"/>
      <c r="AG23" s="374"/>
      <c r="AH23" s="374" t="s">
        <v>360</v>
      </c>
      <c r="AI23" s="374"/>
      <c r="AJ23" s="378"/>
    </row>
    <row r="24" spans="1:36" ht="9.9499999999999993" customHeight="1" x14ac:dyDescent="0.2">
      <c r="A24" s="37"/>
      <c r="B24" s="4"/>
      <c r="C24" s="4"/>
      <c r="D24" s="4"/>
      <c r="E24" s="4"/>
      <c r="F24" s="4"/>
      <c r="G24" s="39"/>
      <c r="H24" s="39"/>
      <c r="I24" s="39"/>
      <c r="J24" s="39"/>
      <c r="K24" s="39"/>
      <c r="L24" s="89"/>
      <c r="M24" s="4"/>
      <c r="N24" s="4"/>
      <c r="O24" s="4"/>
      <c r="P24" s="4"/>
      <c r="Q24" s="39"/>
      <c r="R24" s="39"/>
      <c r="S24" s="15"/>
      <c r="V24" s="120"/>
      <c r="W24" s="205" t="s">
        <v>372</v>
      </c>
      <c r="X24" s="135" t="s">
        <v>373</v>
      </c>
      <c r="Y24" s="205" t="s">
        <v>357</v>
      </c>
      <c r="Z24" s="355" t="s">
        <v>437</v>
      </c>
      <c r="AA24" s="355"/>
      <c r="AB24" s="294" t="s">
        <v>464</v>
      </c>
      <c r="AC24" s="73"/>
      <c r="AD24" s="156" t="s">
        <v>366</v>
      </c>
      <c r="AE24" s="76">
        <v>0.5</v>
      </c>
      <c r="AF24" s="48">
        <v>0.6</v>
      </c>
      <c r="AG24" s="77" t="s">
        <v>37</v>
      </c>
      <c r="AH24" s="48">
        <v>0.65</v>
      </c>
      <c r="AI24" s="48">
        <v>0.7</v>
      </c>
      <c r="AJ24" s="157">
        <v>0.8</v>
      </c>
    </row>
    <row r="25" spans="1:36" ht="15" customHeight="1" x14ac:dyDescent="0.2">
      <c r="A25" s="9"/>
      <c r="B25" s="50"/>
      <c r="C25" s="50"/>
      <c r="D25" s="4"/>
      <c r="E25" s="4"/>
      <c r="F25" s="4"/>
      <c r="G25" s="82" t="s">
        <v>331</v>
      </c>
      <c r="H25" s="33"/>
      <c r="I25" s="82" t="s">
        <v>376</v>
      </c>
      <c r="J25" s="4"/>
      <c r="K25" s="61" t="s">
        <v>345</v>
      </c>
      <c r="L25" s="94" t="s">
        <v>380</v>
      </c>
      <c r="M25" s="83" t="s">
        <v>346</v>
      </c>
      <c r="N25" s="480" t="str">
        <f>IF(OR(OR(Eingabe!$L$108="Ausgabe freie Lüftung",Eingabe!L108="Ausgabe freie Lüftung und Ausgabe vg R-LG"),Eingabe!L108="Ausgabe freie Lüftung und Ausgabe vg R-LG"),MAX((IF(Eingabe!$X$67="Schachtlüftung",$N$9-$X$26,$N$9-$W$26)),0),"-")</f>
        <v>-</v>
      </c>
      <c r="O25" s="481"/>
      <c r="P25" s="4"/>
      <c r="Q25" s="84" t="s">
        <v>330</v>
      </c>
      <c r="R25" s="50"/>
      <c r="S25" s="52"/>
      <c r="V25" s="131"/>
      <c r="W25" s="78"/>
      <c r="X25" s="4"/>
      <c r="Y25" s="78"/>
      <c r="Z25" s="24" t="s">
        <v>438</v>
      </c>
      <c r="AA25" s="75" t="s">
        <v>439</v>
      </c>
      <c r="AB25" s="126"/>
      <c r="AD25" s="156" t="s">
        <v>367</v>
      </c>
      <c r="AE25" s="350">
        <v>0.15</v>
      </c>
      <c r="AF25" s="351"/>
      <c r="AG25" s="48">
        <v>0.45</v>
      </c>
      <c r="AH25" s="362">
        <v>0.15</v>
      </c>
      <c r="AI25" s="363"/>
      <c r="AJ25" s="364"/>
    </row>
    <row r="26" spans="1:36" ht="9.9499999999999993" customHeight="1" x14ac:dyDescent="0.2">
      <c r="A26" s="51"/>
      <c r="B26" s="4"/>
      <c r="C26" s="4"/>
      <c r="D26" s="4"/>
      <c r="E26" s="4"/>
      <c r="F26" s="4"/>
      <c r="G26" s="4"/>
      <c r="H26" s="4"/>
      <c r="I26" s="82"/>
      <c r="J26" s="4"/>
      <c r="K26" s="4"/>
      <c r="L26" s="89"/>
      <c r="M26" s="4"/>
      <c r="N26" s="4"/>
      <c r="O26" s="4"/>
      <c r="P26" s="4"/>
      <c r="Q26" s="4"/>
      <c r="R26" s="50"/>
      <c r="S26" s="52"/>
      <c r="V26" s="289" t="s">
        <v>366</v>
      </c>
      <c r="W26" s="287" t="e">
        <f t="shared" ref="W26:AB29" si="0">AE24*$W$21*$W$17*($W$22*W$23/50)^$W$18</f>
        <v>#NUM!</v>
      </c>
      <c r="X26" s="287" t="e">
        <f t="shared" si="0"/>
        <v>#NUM!</v>
      </c>
      <c r="Y26" s="287" t="e">
        <f t="shared" si="0"/>
        <v>#VALUE!</v>
      </c>
      <c r="Z26" s="287" t="e">
        <f t="shared" si="0"/>
        <v>#NUM!</v>
      </c>
      <c r="AA26" s="287" t="e">
        <f t="shared" si="0"/>
        <v>#NUM!</v>
      </c>
      <c r="AB26" s="290" t="e">
        <f t="shared" si="0"/>
        <v>#NUM!</v>
      </c>
      <c r="AD26" s="156" t="s">
        <v>368</v>
      </c>
      <c r="AE26" s="77" t="s">
        <v>37</v>
      </c>
      <c r="AF26" s="48">
        <v>0.35</v>
      </c>
      <c r="AG26" s="48"/>
      <c r="AH26" s="367" t="s">
        <v>37</v>
      </c>
      <c r="AI26" s="363"/>
      <c r="AJ26" s="364"/>
    </row>
    <row r="27" spans="1:36" ht="15" customHeight="1" thickBot="1" x14ac:dyDescent="0.25">
      <c r="A27" s="51"/>
      <c r="B27" s="4"/>
      <c r="C27" s="4"/>
      <c r="D27" s="33"/>
      <c r="E27" s="33"/>
      <c r="F27" s="33"/>
      <c r="G27" s="33"/>
      <c r="H27" s="33"/>
      <c r="I27" s="82" t="s">
        <v>375</v>
      </c>
      <c r="J27" s="4"/>
      <c r="K27" s="61" t="s">
        <v>345</v>
      </c>
      <c r="L27" s="94" t="s">
        <v>380</v>
      </c>
      <c r="M27" s="4" t="s">
        <v>346</v>
      </c>
      <c r="N27" s="480" t="str">
        <f>IF(OR(OR(Eingabe!$L$108="Ausgabe freie Lüftung",Eingabe!L108="Ausgabe freie Lüftung und Ausgabe vg R-LG"),Eingabe!L108="Ausgabe freie Lüftung und Ausgabe vg R-LG"),MAX((IF(Eingabe!$X$67="Schachtlüftung",$N$9-$X$27,$N$9-$W$27)),0),"-")</f>
        <v>-</v>
      </c>
      <c r="O27" s="481"/>
      <c r="P27" s="4"/>
      <c r="Q27" s="84" t="s">
        <v>330</v>
      </c>
      <c r="R27" s="50"/>
      <c r="S27" s="52"/>
      <c r="V27" s="289" t="s">
        <v>367</v>
      </c>
      <c r="W27" s="287" t="e">
        <f>AE25*$W$21*$W$17*($W$22*W$23/50)^$W$18</f>
        <v>#NUM!</v>
      </c>
      <c r="X27" s="287" t="e">
        <f>AE25*$W$21*$W$17*($W$22*X$23/50)^$W$18</f>
        <v>#NUM!</v>
      </c>
      <c r="Y27" s="287" t="e">
        <f t="shared" si="0"/>
        <v>#NUM!</v>
      </c>
      <c r="Z27" s="287" t="e">
        <f t="shared" si="0"/>
        <v>#NUM!</v>
      </c>
      <c r="AA27" s="287" t="e">
        <f>AH25*$W$21*$W$17*($W$22*AA$23/50)^$W$18</f>
        <v>#NUM!</v>
      </c>
      <c r="AB27" s="290" t="e">
        <f>AH25*$W$21*$W$17*($W$22*AB$23/50)^$W$18</f>
        <v>#NUM!</v>
      </c>
      <c r="AD27" s="158" t="s">
        <v>369</v>
      </c>
      <c r="AE27" s="159" t="s">
        <v>37</v>
      </c>
      <c r="AF27" s="159" t="s">
        <v>37</v>
      </c>
      <c r="AG27" s="160">
        <v>0.45</v>
      </c>
      <c r="AH27" s="161">
        <v>0.15</v>
      </c>
      <c r="AI27" s="365">
        <v>0.2</v>
      </c>
      <c r="AJ27" s="366"/>
    </row>
    <row r="28" spans="1:36" ht="9.9499999999999993" customHeight="1" x14ac:dyDescent="0.2">
      <c r="A28" s="51"/>
      <c r="B28" s="4"/>
      <c r="C28" s="4"/>
      <c r="D28" s="4"/>
      <c r="E28" s="4"/>
      <c r="F28" s="4"/>
      <c r="G28" s="4"/>
      <c r="H28" s="4"/>
      <c r="I28" s="82"/>
      <c r="J28" s="4"/>
      <c r="K28" s="4"/>
      <c r="L28" s="89"/>
      <c r="M28" s="4"/>
      <c r="N28" s="4"/>
      <c r="O28" s="4"/>
      <c r="P28" s="4"/>
      <c r="Q28" s="4"/>
      <c r="R28" s="50"/>
      <c r="S28" s="52"/>
      <c r="V28" s="289" t="s">
        <v>368</v>
      </c>
      <c r="W28" s="288"/>
      <c r="X28" s="287" t="e">
        <f>AF26*$W$21*$W$17*($W$22*X$23/50)^$W$18</f>
        <v>#NUM!</v>
      </c>
      <c r="Y28" s="287" t="e">
        <f t="shared" si="0"/>
        <v>#NUM!</v>
      </c>
      <c r="Z28" s="287" t="e">
        <f t="shared" si="0"/>
        <v>#VALUE!</v>
      </c>
      <c r="AA28" s="287" t="e">
        <f>AH26*$W$21*$W$17*($W$22*AA$23/50)^$W$18</f>
        <v>#VALUE!</v>
      </c>
      <c r="AB28" s="290" t="e">
        <f>AH26*$W$21*$W$17*($W$22*AB$23/50)^$W$18</f>
        <v>#VALUE!</v>
      </c>
      <c r="AD28" s="4"/>
      <c r="AE28" s="46"/>
      <c r="AF28" s="46"/>
      <c r="AG28" s="46"/>
      <c r="AH28" s="46"/>
      <c r="AI28" s="50"/>
    </row>
    <row r="29" spans="1:36" ht="15" customHeight="1" thickBot="1" x14ac:dyDescent="0.25">
      <c r="A29" s="51"/>
      <c r="B29" s="4"/>
      <c r="C29" s="4"/>
      <c r="D29" s="33"/>
      <c r="E29" s="33"/>
      <c r="F29" s="33"/>
      <c r="G29" s="33"/>
      <c r="H29" s="33"/>
      <c r="I29" s="82" t="s">
        <v>377</v>
      </c>
      <c r="J29" s="4"/>
      <c r="K29" s="61" t="s">
        <v>345</v>
      </c>
      <c r="L29" s="94" t="s">
        <v>380</v>
      </c>
      <c r="M29" s="4" t="s">
        <v>346</v>
      </c>
      <c r="N29" s="480" t="str">
        <f>IF(OR(OR(Eingabe!$L$108="Ausgabe freie Lüftung",Eingabe!L108="Ausgabe freie Lüftung und Ausgabe vg R-LG"),Eingabe!L108="Ausgabe freie Lüftung und Ausgabe vg R-LG"),IF(Eingabe!$X$67="Schachtlüftung",MAX(($N$9-$X$28),0),"-"),"-")</f>
        <v>-</v>
      </c>
      <c r="O29" s="481"/>
      <c r="P29" s="4"/>
      <c r="Q29" s="84" t="s">
        <v>330</v>
      </c>
      <c r="R29" s="50"/>
      <c r="S29" s="52"/>
      <c r="V29" s="291" t="s">
        <v>369</v>
      </c>
      <c r="W29" s="173"/>
      <c r="X29" s="173"/>
      <c r="Y29" s="292" t="e">
        <f t="shared" si="0"/>
        <v>#NUM!</v>
      </c>
      <c r="Z29" s="292" t="e">
        <f t="shared" si="0"/>
        <v>#NUM!</v>
      </c>
      <c r="AA29" s="292" t="e">
        <f>AI27*$W$21*$W$17*($W$22*AA$23/50)^$W$18</f>
        <v>#NUM!</v>
      </c>
      <c r="AB29" s="293" t="e">
        <f>AI27*$W$21*$W$17*($W$22*AB$23/50)^$W$18</f>
        <v>#NUM!</v>
      </c>
      <c r="AD29" s="4"/>
      <c r="AE29" s="4"/>
      <c r="AF29" s="4"/>
      <c r="AG29" s="4"/>
      <c r="AH29" s="46"/>
      <c r="AI29" s="50"/>
    </row>
    <row r="30" spans="1:36" ht="9.9499999999999993" customHeight="1" x14ac:dyDescent="0.2">
      <c r="A30" s="51"/>
      <c r="B30" s="4"/>
      <c r="C30" s="4"/>
      <c r="D30" s="4"/>
      <c r="E30" s="4"/>
      <c r="F30" s="4"/>
      <c r="G30" s="4"/>
      <c r="H30" s="4"/>
      <c r="I30" s="4"/>
      <c r="J30" s="4"/>
      <c r="K30" s="4"/>
      <c r="L30" s="89"/>
      <c r="M30" s="4"/>
      <c r="N30" s="4"/>
      <c r="O30" s="4"/>
      <c r="P30" s="4"/>
      <c r="Q30" s="4"/>
      <c r="R30" s="50"/>
      <c r="S30" s="52"/>
      <c r="V30" s="50"/>
      <c r="W30" s="4"/>
      <c r="X30" s="45"/>
      <c r="Y30" s="4"/>
      <c r="Z30" s="4"/>
      <c r="AD30" s="4"/>
      <c r="AE30" s="4"/>
      <c r="AF30" s="4"/>
      <c r="AG30" s="4"/>
      <c r="AH30" s="4"/>
      <c r="AI30" s="50"/>
    </row>
    <row r="31" spans="1:36" ht="15" customHeight="1" x14ac:dyDescent="0.2">
      <c r="A31" s="51"/>
      <c r="B31" s="50"/>
      <c r="C31" s="50"/>
      <c r="D31" s="4"/>
      <c r="E31" s="4"/>
      <c r="F31" s="4"/>
      <c r="G31" s="85" t="s">
        <v>332</v>
      </c>
      <c r="H31" s="78"/>
      <c r="I31" s="85" t="s">
        <v>376</v>
      </c>
      <c r="J31" s="78"/>
      <c r="K31" s="86" t="s">
        <v>345</v>
      </c>
      <c r="L31" s="95" t="s">
        <v>381</v>
      </c>
      <c r="M31" s="87" t="s">
        <v>346</v>
      </c>
      <c r="N31" s="482" t="str">
        <f>IF(OR(OR(Eingabe!$L$108="Ausgabe freie Lüftung",Eingabe!L108="Ausgabe freie Lüftung und Ausgabe vg R-LG"),Eingabe!L108="Ausgabe freie Lüftung und Ausgabe vg R-LG"),MAX((IF(Eingabe!$X$67="Schachtlüftung",$N$11-$X$26,$N$11-$W$26)),0),"-")</f>
        <v>-</v>
      </c>
      <c r="O31" s="483"/>
      <c r="P31" s="78"/>
      <c r="Q31" s="88" t="s">
        <v>330</v>
      </c>
      <c r="R31" s="50"/>
      <c r="S31" s="52"/>
      <c r="V31" s="50"/>
      <c r="W31" s="4"/>
      <c r="X31" s="4"/>
      <c r="Y31" s="4"/>
      <c r="Z31" s="4"/>
      <c r="AD31" s="4"/>
      <c r="AE31" s="4"/>
      <c r="AF31" s="4"/>
      <c r="AG31" s="4"/>
      <c r="AH31" s="14"/>
      <c r="AI31" s="50"/>
    </row>
    <row r="32" spans="1:36" ht="9.9499999999999993" customHeight="1" x14ac:dyDescent="0.2">
      <c r="A32" s="51"/>
      <c r="B32" s="4"/>
      <c r="C32" s="4"/>
      <c r="D32" s="4"/>
      <c r="E32" s="4"/>
      <c r="F32" s="4"/>
      <c r="G32" s="78"/>
      <c r="H32" s="78"/>
      <c r="I32" s="85"/>
      <c r="J32" s="78"/>
      <c r="K32" s="78"/>
      <c r="L32" s="96"/>
      <c r="M32" s="78"/>
      <c r="N32" s="78"/>
      <c r="O32" s="78"/>
      <c r="P32" s="78"/>
      <c r="Q32" s="78"/>
      <c r="R32" s="50"/>
      <c r="S32" s="52"/>
      <c r="V32" s="50"/>
      <c r="W32" s="4"/>
      <c r="X32" s="4"/>
      <c r="Y32" s="4"/>
      <c r="Z32" s="4"/>
      <c r="AD32" s="4"/>
      <c r="AE32" s="4"/>
      <c r="AF32" s="4"/>
      <c r="AG32" s="74"/>
      <c r="AH32" s="4"/>
      <c r="AI32" s="50"/>
    </row>
    <row r="33" spans="1:35" ht="15" customHeight="1" x14ac:dyDescent="0.2">
      <c r="A33" s="51"/>
      <c r="B33" s="4"/>
      <c r="C33" s="4"/>
      <c r="D33" s="33"/>
      <c r="E33" s="33"/>
      <c r="F33" s="33"/>
      <c r="G33" s="78"/>
      <c r="H33" s="78"/>
      <c r="I33" s="85" t="s">
        <v>375</v>
      </c>
      <c r="J33" s="78"/>
      <c r="K33" s="86" t="s">
        <v>345</v>
      </c>
      <c r="L33" s="95" t="s">
        <v>381</v>
      </c>
      <c r="M33" s="78" t="s">
        <v>346</v>
      </c>
      <c r="N33" s="482" t="str">
        <f>IF(OR(OR(Eingabe!$L$108="Ausgabe freie Lüftung",Eingabe!L108="Ausgabe freie Lüftung und Ausgabe vg R-LG"),Eingabe!L108="Ausgabe freie Lüftung und Ausgabe vg R-LG"),MAX((IF(Eingabe!$X$67="Schachtlüftung",$N$11-$X$27,$N$11-$W$27)),0),"-")</f>
        <v>-</v>
      </c>
      <c r="O33" s="483"/>
      <c r="P33" s="78"/>
      <c r="Q33" s="88" t="s">
        <v>330</v>
      </c>
      <c r="R33" s="50"/>
      <c r="S33" s="52"/>
      <c r="V33" s="50"/>
      <c r="W33" s="4"/>
      <c r="X33" s="4"/>
      <c r="Y33" s="4"/>
      <c r="Z33" s="4"/>
      <c r="AD33" s="4"/>
      <c r="AE33" s="4"/>
      <c r="AF33" s="4"/>
      <c r="AG33" s="74"/>
      <c r="AH33" s="74"/>
      <c r="AI33" s="50"/>
    </row>
    <row r="34" spans="1:35" ht="9.9499999999999993" customHeight="1" x14ac:dyDescent="0.2">
      <c r="A34" s="51"/>
      <c r="B34" s="4"/>
      <c r="C34" s="4"/>
      <c r="D34" s="4"/>
      <c r="E34" s="4"/>
      <c r="F34" s="4"/>
      <c r="G34" s="78"/>
      <c r="H34" s="78"/>
      <c r="I34" s="85"/>
      <c r="J34" s="78"/>
      <c r="K34" s="78"/>
      <c r="L34" s="96"/>
      <c r="M34" s="78"/>
      <c r="N34" s="78"/>
      <c r="O34" s="78"/>
      <c r="P34" s="78"/>
      <c r="Q34" s="78"/>
      <c r="R34" s="50"/>
      <c r="S34" s="52"/>
      <c r="AD34" s="4"/>
      <c r="AE34" s="4"/>
      <c r="AF34" s="4"/>
      <c r="AG34" s="74"/>
      <c r="AH34" s="74"/>
      <c r="AI34" s="50"/>
    </row>
    <row r="35" spans="1:35" ht="15" customHeight="1" x14ac:dyDescent="0.2">
      <c r="A35" s="51"/>
      <c r="B35" s="4"/>
      <c r="C35" s="4"/>
      <c r="D35" s="33"/>
      <c r="E35" s="33"/>
      <c r="F35" s="33"/>
      <c r="G35" s="78"/>
      <c r="H35" s="78"/>
      <c r="I35" s="85" t="s">
        <v>377</v>
      </c>
      <c r="J35" s="78"/>
      <c r="K35" s="86" t="s">
        <v>345</v>
      </c>
      <c r="L35" s="95" t="s">
        <v>381</v>
      </c>
      <c r="M35" s="78" t="s">
        <v>346</v>
      </c>
      <c r="N35" s="482" t="str">
        <f>IF(OR(OR(Eingabe!$L$108="Ausgabe freie Lüftung",Eingabe!L108="Ausgabe freie Lüftung und Ausgabe vg R-LG"),Eingabe!L108="Ausgabe freie Lüftung und Ausgabe vg R-LG"),IF(Eingabe!$X$67="Schachtlüftung",MAX(($N$11-$X$28),0),"-"),"-")</f>
        <v>-</v>
      </c>
      <c r="O35" s="483"/>
      <c r="P35" s="78"/>
      <c r="Q35" s="88" t="s">
        <v>330</v>
      </c>
      <c r="R35" s="50"/>
      <c r="S35" s="52"/>
      <c r="AD35" s="4"/>
      <c r="AE35" s="4"/>
      <c r="AF35" s="4"/>
      <c r="AG35" s="74"/>
      <c r="AH35" s="74"/>
      <c r="AI35" s="50"/>
    </row>
    <row r="36" spans="1:35" ht="9.9499999999999993" customHeight="1" x14ac:dyDescent="0.2">
      <c r="A36" s="53"/>
      <c r="B36" s="54"/>
      <c r="C36" s="54"/>
      <c r="D36" s="54"/>
      <c r="E36" s="54"/>
      <c r="F36" s="54"/>
      <c r="G36" s="54"/>
      <c r="H36" s="54"/>
      <c r="I36" s="54"/>
      <c r="J36" s="54"/>
      <c r="K36" s="54"/>
      <c r="L36" s="54"/>
      <c r="M36" s="54"/>
      <c r="N36" s="54"/>
      <c r="O36" s="54"/>
      <c r="P36" s="54"/>
      <c r="Q36" s="54"/>
      <c r="R36" s="54"/>
      <c r="S36" s="60"/>
      <c r="AD36" s="4"/>
      <c r="AE36" s="4"/>
      <c r="AF36" s="4"/>
      <c r="AG36" s="74"/>
      <c r="AH36" s="74"/>
      <c r="AI36" s="50"/>
    </row>
    <row r="37" spans="1:35" ht="20.25" x14ac:dyDescent="0.3">
      <c r="A37" s="264" t="s">
        <v>457</v>
      </c>
      <c r="B37" s="54"/>
      <c r="C37" s="54"/>
      <c r="D37" s="54"/>
      <c r="E37" s="54"/>
      <c r="F37" s="54"/>
      <c r="G37" s="50"/>
      <c r="H37" s="50"/>
      <c r="I37" s="265" t="s">
        <v>460</v>
      </c>
      <c r="J37" s="50"/>
      <c r="K37" s="50"/>
      <c r="L37" s="50"/>
      <c r="M37" s="50"/>
      <c r="N37" s="50"/>
      <c r="O37" s="50"/>
      <c r="P37" s="50"/>
      <c r="Q37" s="50"/>
      <c r="R37" s="50"/>
      <c r="S37" s="50"/>
      <c r="AD37" s="4"/>
      <c r="AE37" s="4"/>
      <c r="AF37" s="4"/>
      <c r="AG37" s="74"/>
      <c r="AH37" s="74"/>
      <c r="AI37" s="50"/>
    </row>
    <row r="38" spans="1:35" ht="35.1" customHeight="1" x14ac:dyDescent="0.2"/>
    <row r="39" spans="1:35" ht="18" customHeight="1" x14ac:dyDescent="0.2">
      <c r="A39" s="36"/>
      <c r="B39" s="11"/>
      <c r="C39" s="11"/>
      <c r="D39" s="484" t="s">
        <v>379</v>
      </c>
      <c r="E39" s="485"/>
      <c r="F39" s="485"/>
      <c r="G39" s="485"/>
      <c r="H39" s="485"/>
      <c r="I39" s="485"/>
      <c r="J39" s="485"/>
      <c r="K39" s="485"/>
      <c r="L39" s="486"/>
      <c r="M39" s="11"/>
      <c r="N39" s="487" t="str">
        <f>IF(Eingabe!$L$108="Ausgabe freie Lüftung",Eingabe!$X$67,IF(Eingabe!$L$108="Ausgabe freie Lüftung und Ausgabe vg R-LG",Eingabe!$X$67,"siehe Ausgabe vg Lüftung!"))</f>
        <v>siehe Ausgabe vg Lüftung!</v>
      </c>
      <c r="O39" s="488"/>
      <c r="P39" s="488"/>
      <c r="Q39" s="488"/>
      <c r="R39" s="488"/>
      <c r="S39" s="489"/>
      <c r="U39" s="50"/>
      <c r="V39" s="50"/>
      <c r="W39" s="50"/>
    </row>
    <row r="40" spans="1:35" ht="9.9499999999999993" customHeight="1" x14ac:dyDescent="0.2">
      <c r="A40" s="51"/>
      <c r="B40" s="50"/>
      <c r="C40" s="50"/>
      <c r="D40" s="50"/>
      <c r="E40" s="50"/>
      <c r="F40" s="50"/>
      <c r="G40" s="50"/>
      <c r="H40" s="50"/>
      <c r="I40" s="50"/>
      <c r="J40" s="50"/>
      <c r="K40" s="50"/>
      <c r="L40" s="50"/>
      <c r="M40" s="50"/>
      <c r="N40" s="50"/>
      <c r="O40" s="50"/>
      <c r="P40" s="50"/>
      <c r="Q40" s="50"/>
      <c r="R40" s="50"/>
      <c r="S40" s="52"/>
      <c r="U40" s="50"/>
      <c r="V40" s="50"/>
      <c r="W40" s="50"/>
    </row>
    <row r="41" spans="1:35" ht="18" customHeight="1" x14ac:dyDescent="0.2">
      <c r="A41" s="44" t="s">
        <v>382</v>
      </c>
      <c r="B41" s="55"/>
      <c r="C41" s="55"/>
      <c r="D41" s="11"/>
      <c r="E41" s="11"/>
      <c r="F41" s="11"/>
      <c r="G41" s="105" t="s">
        <v>366</v>
      </c>
      <c r="H41" s="106"/>
      <c r="I41" s="105" t="s">
        <v>367</v>
      </c>
      <c r="J41" s="106"/>
      <c r="K41" s="105" t="s">
        <v>383</v>
      </c>
      <c r="L41" s="505" t="s">
        <v>385</v>
      </c>
      <c r="M41" s="506"/>
      <c r="N41" s="107" t="s">
        <v>384</v>
      </c>
      <c r="O41" s="107" t="s">
        <v>368</v>
      </c>
      <c r="P41" s="106"/>
      <c r="Q41" s="105"/>
      <c r="R41" s="507"/>
      <c r="S41" s="508"/>
      <c r="U41" s="50"/>
      <c r="V41" s="50"/>
      <c r="W41" s="50"/>
    </row>
    <row r="42" spans="1:35" ht="15" customHeight="1" x14ac:dyDescent="0.2">
      <c r="A42" s="97" t="s">
        <v>387</v>
      </c>
      <c r="B42" s="492" t="str">
        <f>IF(OR(Eingabe!$L$108="Ausgabe freie Lüftung",AND(Eingabe!L108="Ausgabe freie Lüftung und Ausgabe vg R-LG",Eingabe!L91="nein")),IF(ISBLANK(Eingabe!$N91),"",Eingabe!$I91),"")</f>
        <v/>
      </c>
      <c r="C42" s="493"/>
      <c r="D42" s="493"/>
      <c r="E42" s="494"/>
      <c r="F42" s="99"/>
      <c r="G42" s="102" t="str">
        <f>IF($B42="",CHAR(111),IF(OR(Eingabe!$L$108="Ausgabe freie Lüftung",Eingabe!L108="Ausgabe freie Lüftung und Ausgabe vg R-LG"),CHAR(254),CHAR(111)))</f>
        <v>o</v>
      </c>
      <c r="H42" s="4"/>
      <c r="I42" s="102" t="str">
        <f>IF($B42="",CHAR(111),IF(OR(Eingabe!$L$108="Ausgabe freie Lüftung",Eingabe!L108="Ausgabe freie Lüftung und Ausgabe vg R-LG"),CHAR(254),CHAR(111)))</f>
        <v>o</v>
      </c>
      <c r="J42" s="4"/>
      <c r="K42" s="102" t="str">
        <f>CHAR(111)</f>
        <v>o</v>
      </c>
      <c r="L42" s="495" t="str">
        <f>CHAR(111)</f>
        <v>o</v>
      </c>
      <c r="M42" s="496"/>
      <c r="N42" s="102" t="str">
        <f>CHAR(111)</f>
        <v>o</v>
      </c>
      <c r="O42" s="102" t="str">
        <f>CHAR(111)</f>
        <v>o</v>
      </c>
      <c r="P42" s="4"/>
      <c r="Q42" s="103"/>
      <c r="R42" s="497"/>
      <c r="S42" s="498"/>
      <c r="U42" s="50"/>
      <c r="V42" s="50"/>
      <c r="W42" s="50"/>
    </row>
    <row r="43" spans="1:35" s="5" customFormat="1" ht="15" customHeight="1" x14ac:dyDescent="0.2">
      <c r="A43" s="212" t="s">
        <v>386</v>
      </c>
      <c r="B43" s="28" t="str">
        <f>IF(B42="","",IF(ISBLANK(Eingabe!$N91),"",Eingabe!$Q91))</f>
        <v/>
      </c>
      <c r="C43" s="28" t="s">
        <v>25</v>
      </c>
      <c r="D43" s="100" t="s">
        <v>345</v>
      </c>
      <c r="E43" s="213" t="s">
        <v>389</v>
      </c>
      <c r="F43" s="92"/>
      <c r="G43" s="93" t="str">
        <f>IF(G42="o","-",IF(Eingabe!$X$67="Querlüftung (FS)",2*Eingabe!$Y$86/(Eingabe!$Y$101+Eingabe!$Y$84)*$N$19,IF(Eingabe!$X$67="Querlüftung",2*Eingabe!$Y$86/(Eingabe!$Y$101+Eingabe!$Y$84)*$N$25,IF(Eingabe!$X$67="Schachtlüftung",Eingabe!$Y$86/Eingabe!$Y$101*$N$25,"Fehler"))))</f>
        <v>-</v>
      </c>
      <c r="H43" s="92"/>
      <c r="I43" s="93" t="str">
        <f>IF(I42="o","-",IF(Eingabe!$X$67="Querlüftung (FS)",2*Eingabe!$Y$86/(Eingabe!$Y$101+Eingabe!$Y$84)*$N$21,IF(Eingabe!$X$67="Querlüftung",2*Eingabe!$Y$86/(Eingabe!$Y$101+Eingabe!$Y$84)*$N$27,IF(Eingabe!$X$67="Schachtlüftung",Eingabe!$Y$86/Eingabe!$Y$101*$N$27,"Fehler"))))</f>
        <v>-</v>
      </c>
      <c r="J43" s="73"/>
      <c r="K43" s="93" t="s">
        <v>37</v>
      </c>
      <c r="L43" s="499" t="s">
        <v>37</v>
      </c>
      <c r="M43" s="500"/>
      <c r="N43" s="93" t="s">
        <v>37</v>
      </c>
      <c r="O43" s="93" t="s">
        <v>37</v>
      </c>
      <c r="P43" s="73"/>
      <c r="Q43" s="104"/>
      <c r="R43" s="501"/>
      <c r="S43" s="502"/>
      <c r="U43" s="4"/>
      <c r="V43" s="4"/>
      <c r="W43" s="4"/>
    </row>
    <row r="44" spans="1:35" s="5" customFormat="1" ht="15" customHeight="1" x14ac:dyDescent="0.2">
      <c r="A44" s="97" t="s">
        <v>387</v>
      </c>
      <c r="B44" s="492" t="str">
        <f>IF(OR(Eingabe!$L$108="Ausgabe freie Lüftung",AND(Eingabe!L108="Ausgabe freie Lüftung und Ausgabe vg R-LG",Eingabe!L92="nein")),IF(ISBLANK(Eingabe!$N92),"",Eingabe!$I92),"")</f>
        <v/>
      </c>
      <c r="C44" s="493"/>
      <c r="D44" s="493"/>
      <c r="E44" s="494"/>
      <c r="F44" s="99"/>
      <c r="G44" s="102" t="str">
        <f>IF($B44="",CHAR(111),IF(OR(Eingabe!$L$108="Ausgabe freie Lüftung",Eingabe!L108="Ausgabe freie Lüftung und Ausgabe vg R-LG"),CHAR(254),CHAR(111)))</f>
        <v>o</v>
      </c>
      <c r="H44" s="4"/>
      <c r="I44" s="102" t="str">
        <f>IF($B44="",CHAR(111),IF(OR(Eingabe!$L$108="Ausgabe freie Lüftung",Eingabe!L108="Ausgabe freie Lüftung und Ausgabe vg R-LG"),CHAR(254),CHAR(111)))</f>
        <v>o</v>
      </c>
      <c r="J44" s="4"/>
      <c r="K44" s="102" t="str">
        <f>CHAR(111)</f>
        <v>o</v>
      </c>
      <c r="L44" s="495" t="str">
        <f>CHAR(111)</f>
        <v>o</v>
      </c>
      <c r="M44" s="496"/>
      <c r="N44" s="102" t="str">
        <f>CHAR(111)</f>
        <v>o</v>
      </c>
      <c r="O44" s="102" t="str">
        <f>CHAR(111)</f>
        <v>o</v>
      </c>
      <c r="P44" s="4"/>
      <c r="Q44" s="103"/>
      <c r="R44" s="497"/>
      <c r="S44" s="498"/>
      <c r="U44" s="4"/>
      <c r="V44" s="4"/>
      <c r="W44" s="4"/>
    </row>
    <row r="45" spans="1:35" s="5" customFormat="1" ht="15" customHeight="1" x14ac:dyDescent="0.2">
      <c r="A45" s="212" t="s">
        <v>386</v>
      </c>
      <c r="B45" s="28" t="str">
        <f>IF(B44="","",IF(ISBLANK(Eingabe!$N92),"",Eingabe!$Q92))</f>
        <v/>
      </c>
      <c r="C45" s="28" t="s">
        <v>25</v>
      </c>
      <c r="D45" s="100" t="s">
        <v>345</v>
      </c>
      <c r="E45" s="213" t="s">
        <v>389</v>
      </c>
      <c r="F45" s="92"/>
      <c r="G45" s="93" t="str">
        <f>IF(G44="o","-",IF(Eingabe!$X$67="Querlüftung (FS)",2*Eingabe!$Y$87/(Eingabe!$Y$101+Eingabe!$Y$84)*$N$19,IF(Eingabe!$X$67="Querlüftung",2*Eingabe!$Y$87/(Eingabe!$Y$101+Eingabe!$Y$84)*$N$25,IF(Eingabe!$X$67="Schachtlüftung",Eingabe!$Y$87/Eingabe!$Y$101*$N$25,"Fehler"))))</f>
        <v>-</v>
      </c>
      <c r="H45" s="92"/>
      <c r="I45" s="93" t="str">
        <f>IF(I44="o","-",IF(Eingabe!$X$67="Querlüftung (FS)",2*Eingabe!$Y$87/(Eingabe!$Y$101+Eingabe!$Y$84)*$N$21,IF(Eingabe!$X$67="Querlüftung",2*Eingabe!$Y$87/(Eingabe!$Y$101+Eingabe!$Y$84)*$N$27,IF(Eingabe!$X$67="Schachtlüftung",Eingabe!$Y$87/Eingabe!$Y$101*$N$27,"Fehler"))))</f>
        <v>-</v>
      </c>
      <c r="J45" s="73"/>
      <c r="K45" s="93" t="s">
        <v>37</v>
      </c>
      <c r="L45" s="499" t="s">
        <v>37</v>
      </c>
      <c r="M45" s="500"/>
      <c r="N45" s="93" t="s">
        <v>37</v>
      </c>
      <c r="O45" s="93" t="s">
        <v>37</v>
      </c>
      <c r="P45" s="73"/>
      <c r="Q45" s="104"/>
      <c r="R45" s="501"/>
      <c r="S45" s="502"/>
    </row>
    <row r="46" spans="1:35" s="5" customFormat="1" ht="15" customHeight="1" x14ac:dyDescent="0.2">
      <c r="A46" s="97" t="s">
        <v>387</v>
      </c>
      <c r="B46" s="492" t="str">
        <f>IF(OR(Eingabe!$L$108="Ausgabe freie Lüftung",AND(Eingabe!L108="Ausgabe freie Lüftung und Ausgabe vg R-LG",Eingabe!L93="nein")),IF(ISBLANK(Eingabe!$N93),"",Eingabe!$I93),"")</f>
        <v/>
      </c>
      <c r="C46" s="493"/>
      <c r="D46" s="493"/>
      <c r="E46" s="494"/>
      <c r="F46" s="99"/>
      <c r="G46" s="102" t="str">
        <f>IF($B46="",CHAR(111),IF(OR(Eingabe!$L$108="Ausgabe freie Lüftung",Eingabe!L108="Ausgabe freie Lüftung und Ausgabe vg R-LG"),CHAR(254),CHAR(111)))</f>
        <v>o</v>
      </c>
      <c r="H46" s="4"/>
      <c r="I46" s="102" t="str">
        <f>IF($B46="",CHAR(111),IF(OR(Eingabe!$L$108="Ausgabe freie Lüftung",Eingabe!L108="Ausgabe freie Lüftung und Ausgabe vg R-LG"),CHAR(254),CHAR(111)))</f>
        <v>o</v>
      </c>
      <c r="J46" s="4"/>
      <c r="K46" s="102" t="str">
        <f>CHAR(111)</f>
        <v>o</v>
      </c>
      <c r="L46" s="495" t="str">
        <f>CHAR(111)</f>
        <v>o</v>
      </c>
      <c r="M46" s="496"/>
      <c r="N46" s="102" t="str">
        <f>CHAR(111)</f>
        <v>o</v>
      </c>
      <c r="O46" s="102" t="str">
        <f>CHAR(111)</f>
        <v>o</v>
      </c>
      <c r="P46" s="4"/>
      <c r="Q46" s="103"/>
      <c r="R46" s="503"/>
      <c r="S46" s="504"/>
    </row>
    <row r="47" spans="1:35" s="5" customFormat="1" ht="15" customHeight="1" x14ac:dyDescent="0.2">
      <c r="A47" s="212" t="s">
        <v>386</v>
      </c>
      <c r="B47" s="28" t="str">
        <f>IF(B46="","",IF(ISBLANK(Eingabe!$N93),"",Eingabe!$Q93))</f>
        <v/>
      </c>
      <c r="C47" s="28" t="s">
        <v>25</v>
      </c>
      <c r="D47" s="100" t="s">
        <v>345</v>
      </c>
      <c r="E47" s="213" t="s">
        <v>389</v>
      </c>
      <c r="F47" s="92"/>
      <c r="G47" s="93" t="str">
        <f>IF(G46="o","-",IF(Eingabe!$X$67="Querlüftung (FS)",2*Eingabe!$Y$88/(Eingabe!$Y$101+Eingabe!$Y$84)*$N$19,IF(Eingabe!$X$67="Querlüftung",2*Eingabe!$Y$88/(Eingabe!$Y$101+Eingabe!$Y$84)*$N$25,IF(Eingabe!$X$67="Schachtlüftung",Eingabe!$Y$88/Eingabe!$Y$101*$N$25,"Fehler"))))</f>
        <v>-</v>
      </c>
      <c r="H47" s="92"/>
      <c r="I47" s="93" t="str">
        <f>IF(I46="o","-",IF(Eingabe!$X$67="Querlüftung (FS)",2*Eingabe!$Y$88/(Eingabe!$Y$101+Eingabe!$Y$84)*$N$21,IF(Eingabe!$X$67="Querlüftung",2*Eingabe!$Y$88/(Eingabe!$Y$101+Eingabe!$Y$84)*$N$27,IF(Eingabe!$X$67="Schachtlüftung",Eingabe!$Y$88/Eingabe!$Y$101*$N$27,"Fehler"))))</f>
        <v>-</v>
      </c>
      <c r="J47" s="73"/>
      <c r="K47" s="93" t="s">
        <v>37</v>
      </c>
      <c r="L47" s="499" t="s">
        <v>37</v>
      </c>
      <c r="M47" s="500"/>
      <c r="N47" s="93" t="s">
        <v>37</v>
      </c>
      <c r="O47" s="93" t="s">
        <v>37</v>
      </c>
      <c r="P47" s="73"/>
      <c r="Q47" s="104"/>
      <c r="R47" s="509"/>
      <c r="S47" s="510"/>
    </row>
    <row r="48" spans="1:35" s="5" customFormat="1" ht="15" customHeight="1" x14ac:dyDescent="0.2">
      <c r="A48" s="97" t="s">
        <v>387</v>
      </c>
      <c r="B48" s="492" t="str">
        <f>IF(OR(Eingabe!$L$108="Ausgabe freie Lüftung",AND(Eingabe!L108="Ausgabe freie Lüftung und Ausgabe vg R-LG",Eingabe!L94="nein")),IF(ISBLANK(Eingabe!$N94),"",Eingabe!$I94),"")</f>
        <v/>
      </c>
      <c r="C48" s="493"/>
      <c r="D48" s="493"/>
      <c r="E48" s="494"/>
      <c r="F48" s="99"/>
      <c r="G48" s="102" t="str">
        <f>IF($B48="",CHAR(111),IF(OR(Eingabe!$L$108="Ausgabe freie Lüftung",Eingabe!L108="Ausgabe freie Lüftung und Ausgabe vg R-LG"),CHAR(254),CHAR(111)))</f>
        <v>o</v>
      </c>
      <c r="H48" s="4"/>
      <c r="I48" s="102" t="str">
        <f>IF($B48="",CHAR(111),IF(OR(Eingabe!$L$108="Ausgabe freie Lüftung",Eingabe!L108="Ausgabe freie Lüftung und Ausgabe vg R-LG"),CHAR(254),CHAR(111)))</f>
        <v>o</v>
      </c>
      <c r="J48" s="4"/>
      <c r="K48" s="102" t="str">
        <f>CHAR(111)</f>
        <v>o</v>
      </c>
      <c r="L48" s="495" t="str">
        <f>CHAR(111)</f>
        <v>o</v>
      </c>
      <c r="M48" s="496"/>
      <c r="N48" s="102" t="str">
        <f>CHAR(111)</f>
        <v>o</v>
      </c>
      <c r="O48" s="102" t="str">
        <f>CHAR(111)</f>
        <v>o</v>
      </c>
      <c r="P48" s="4"/>
      <c r="Q48" s="103"/>
      <c r="R48" s="503"/>
      <c r="S48" s="504"/>
    </row>
    <row r="49" spans="1:19" s="5" customFormat="1" ht="15" customHeight="1" x14ac:dyDescent="0.2">
      <c r="A49" s="212" t="s">
        <v>386</v>
      </c>
      <c r="B49" s="28" t="str">
        <f>IF(B48="","",IF(ISBLANK(Eingabe!$N94),"",Eingabe!$Q94))</f>
        <v/>
      </c>
      <c r="C49" s="28" t="s">
        <v>25</v>
      </c>
      <c r="D49" s="100" t="s">
        <v>345</v>
      </c>
      <c r="E49" s="213" t="s">
        <v>389</v>
      </c>
      <c r="F49" s="92"/>
      <c r="G49" s="93" t="str">
        <f>IF(G48="o","-",IF(Eingabe!$X$67="Querlüftung (FS)",2*Eingabe!$Y$89/(Eingabe!$Y$101+Eingabe!$Y$84)*$N$19,IF(Eingabe!$X$67="Querlüftung",2*Eingabe!$Y$89/(Eingabe!$Y$101+Eingabe!$Y$84)*$N$25,IF(Eingabe!$X$67="Schachtlüftung",Eingabe!$Y$89/Eingabe!$Y$101*$N$25,"Fehler"))))</f>
        <v>-</v>
      </c>
      <c r="H49" s="92"/>
      <c r="I49" s="93" t="str">
        <f>IF(I48="o","-",IF(Eingabe!$X$67="Querlüftung (FS)",2*Eingabe!$Y$89/(Eingabe!$Y$101+Eingabe!$Y$84)*$N$21,IF(Eingabe!$X$67="Querlüftung",2*Eingabe!$Y$89/(Eingabe!$Y$101+Eingabe!$Y$84)*$N$27,IF(Eingabe!$X$67="Schachtlüftung",Eingabe!$Y$89/Eingabe!$Y$101*$N$27,"Fehler"))))</f>
        <v>-</v>
      </c>
      <c r="J49" s="73"/>
      <c r="K49" s="93" t="s">
        <v>37</v>
      </c>
      <c r="L49" s="499" t="s">
        <v>37</v>
      </c>
      <c r="M49" s="500"/>
      <c r="N49" s="93" t="s">
        <v>37</v>
      </c>
      <c r="O49" s="93" t="s">
        <v>37</v>
      </c>
      <c r="P49" s="73"/>
      <c r="Q49" s="104"/>
      <c r="R49" s="509"/>
      <c r="S49" s="510"/>
    </row>
    <row r="50" spans="1:19" s="5" customFormat="1" ht="15" customHeight="1" x14ac:dyDescent="0.2">
      <c r="A50" s="97" t="s">
        <v>387</v>
      </c>
      <c r="B50" s="492" t="str">
        <f>IF(OR(Eingabe!$L$108="Ausgabe freie Lüftung",AND(Eingabe!L108="Ausgabe freie Lüftung und Ausgabe vg R-LG",Eingabe!L95="nein")),IF(ISBLANK(Eingabe!$N95),"",Eingabe!$I95),"")</f>
        <v/>
      </c>
      <c r="C50" s="493"/>
      <c r="D50" s="493"/>
      <c r="E50" s="494"/>
      <c r="F50" s="99"/>
      <c r="G50" s="102" t="str">
        <f>IF($B50="",CHAR(111),IF(OR(Eingabe!$L$108="Ausgabe freie Lüftung",Eingabe!L108="Ausgabe freie Lüftung und Ausgabe vg R-LG"),CHAR(254),CHAR(111)))</f>
        <v>o</v>
      </c>
      <c r="H50" s="4"/>
      <c r="I50" s="102" t="str">
        <f>IF($B50="",CHAR(111),IF(OR(Eingabe!$L$108="Ausgabe freie Lüftung",Eingabe!L108="Ausgabe freie Lüftung und Ausgabe vg R-LG"),CHAR(254),CHAR(111)))</f>
        <v>o</v>
      </c>
      <c r="J50" s="4"/>
      <c r="K50" s="102" t="str">
        <f>CHAR(111)</f>
        <v>o</v>
      </c>
      <c r="L50" s="495" t="str">
        <f>CHAR(111)</f>
        <v>o</v>
      </c>
      <c r="M50" s="496"/>
      <c r="N50" s="102" t="str">
        <f>CHAR(111)</f>
        <v>o</v>
      </c>
      <c r="O50" s="102" t="str">
        <f>CHAR(111)</f>
        <v>o</v>
      </c>
      <c r="P50" s="4"/>
      <c r="Q50" s="103"/>
      <c r="R50" s="503"/>
      <c r="S50" s="504"/>
    </row>
    <row r="51" spans="1:19" s="5" customFormat="1" ht="15" customHeight="1" x14ac:dyDescent="0.2">
      <c r="A51" s="212" t="s">
        <v>386</v>
      </c>
      <c r="B51" s="28" t="str">
        <f>IF(B50="","",IF(ISBLANK(Eingabe!$N95),"",Eingabe!$Q95))</f>
        <v/>
      </c>
      <c r="C51" s="28" t="s">
        <v>25</v>
      </c>
      <c r="D51" s="100" t="s">
        <v>345</v>
      </c>
      <c r="E51" s="213" t="s">
        <v>389</v>
      </c>
      <c r="F51" s="92"/>
      <c r="G51" s="93" t="str">
        <f>IF(G50="o","-",IF(Eingabe!$X$67="Querlüftung (FS)",2*Eingabe!$Y$90/(Eingabe!$Y$101+Eingabe!$Y$84)*$N$19,IF(Eingabe!$X$67="Querlüftung",2*Eingabe!$Y$90/(Eingabe!$Y$101+Eingabe!$Y$84)*$N$25,IF(Eingabe!$X$67="Schachtlüftung",Eingabe!$Y$90/Eingabe!$Y$101*$N$25,"Fehler"))))</f>
        <v>-</v>
      </c>
      <c r="H51" s="92"/>
      <c r="I51" s="93" t="str">
        <f>IF(I50="o","-",IF(Eingabe!$X$67="Querlüftung (FS)",2*Eingabe!$Y$90/(Eingabe!$Y$101+Eingabe!$Y$84)*$N$21,IF(Eingabe!$X$67="Querlüftung",2*Eingabe!$Y$90/(Eingabe!$Y$101+Eingabe!$Y$84)*$N$27,IF(Eingabe!$X$67="Schachtlüftung",Eingabe!$Y$90/Eingabe!$Y$101*$N$27,"Fehler"))))</f>
        <v>-</v>
      </c>
      <c r="J51" s="73"/>
      <c r="K51" s="93" t="s">
        <v>37</v>
      </c>
      <c r="L51" s="499" t="s">
        <v>37</v>
      </c>
      <c r="M51" s="500"/>
      <c r="N51" s="93" t="s">
        <v>37</v>
      </c>
      <c r="O51" s="93" t="s">
        <v>37</v>
      </c>
      <c r="P51" s="73"/>
      <c r="Q51" s="104"/>
      <c r="R51" s="509"/>
      <c r="S51" s="510"/>
    </row>
    <row r="52" spans="1:19" s="5" customFormat="1" ht="15" customHeight="1" x14ac:dyDescent="0.2">
      <c r="A52" s="97" t="s">
        <v>387</v>
      </c>
      <c r="B52" s="492" t="str">
        <f>IF(OR(Eingabe!$L$108="Ausgabe freie Lüftung",AND(Eingabe!L108="Ausgabe freie Lüftung und Ausgabe vg R-LG",Eingabe!L96="nein")),IF(ISBLANK(Eingabe!$N96),"",Eingabe!$I96),"")</f>
        <v/>
      </c>
      <c r="C52" s="493"/>
      <c r="D52" s="493"/>
      <c r="E52" s="494"/>
      <c r="F52" s="99"/>
      <c r="G52" s="102" t="str">
        <f>IF($B52="",CHAR(111),IF(OR(Eingabe!$L$108="Ausgabe freie Lüftung",Eingabe!L108="Ausgabe freie Lüftung und Ausgabe vg R-LG"),CHAR(254),CHAR(111)))</f>
        <v>o</v>
      </c>
      <c r="H52" s="4"/>
      <c r="I52" s="102" t="str">
        <f>IF($B52="",CHAR(111),IF(OR(Eingabe!$L$108="Ausgabe freie Lüftung",Eingabe!L108="Ausgabe freie Lüftung und Ausgabe vg R-LG"),CHAR(254),CHAR(111)))</f>
        <v>o</v>
      </c>
      <c r="J52" s="4"/>
      <c r="K52" s="102" t="str">
        <f>CHAR(111)</f>
        <v>o</v>
      </c>
      <c r="L52" s="495" t="str">
        <f>CHAR(111)</f>
        <v>o</v>
      </c>
      <c r="M52" s="496"/>
      <c r="N52" s="102" t="str">
        <f>CHAR(111)</f>
        <v>o</v>
      </c>
      <c r="O52" s="102" t="str">
        <f>CHAR(111)</f>
        <v>o</v>
      </c>
      <c r="P52" s="4"/>
      <c r="Q52" s="103"/>
      <c r="R52" s="503"/>
      <c r="S52" s="504"/>
    </row>
    <row r="53" spans="1:19" s="5" customFormat="1" ht="15" customHeight="1" x14ac:dyDescent="0.2">
      <c r="A53" s="212" t="s">
        <v>386</v>
      </c>
      <c r="B53" s="28" t="str">
        <f>IF(B52="","",IF(ISBLANK(Eingabe!$N96),"",Eingabe!$Q96))</f>
        <v/>
      </c>
      <c r="C53" s="28" t="s">
        <v>25</v>
      </c>
      <c r="D53" s="100" t="s">
        <v>345</v>
      </c>
      <c r="E53" s="213" t="s">
        <v>389</v>
      </c>
      <c r="F53" s="92"/>
      <c r="G53" s="93" t="str">
        <f>IF(G52="o","-",IF(Eingabe!$X$67="Querlüftung (FS)",2*Eingabe!$Y$91/(Eingabe!$Y$101+Eingabe!$Y$84)*$N$19,IF(Eingabe!$X$67="Querlüftung",2*Eingabe!$Y$91/(Eingabe!$Y$101+Eingabe!$Y$84)*$N$25,IF(Eingabe!$X$67="Schachtlüftung",Eingabe!$Y$91/Eingabe!$Y$101*$N$25,"Fehler"))))</f>
        <v>-</v>
      </c>
      <c r="H53" s="92"/>
      <c r="I53" s="93" t="str">
        <f>IF(I52="o","-",IF(Eingabe!$X$67="Querlüftung (FS)",2*Eingabe!$Y$91/(Eingabe!$Y$101+Eingabe!$Y$84)*$N$21,IF(Eingabe!$X$67="Querlüftung",2*Eingabe!$Y$91/(Eingabe!$Y$101+Eingabe!$Y$84)*$N$27,IF(Eingabe!$X$67="Schachtlüftung",Eingabe!$Y$91/Eingabe!$Y$101*$N$27,"Fehler"))))</f>
        <v>-</v>
      </c>
      <c r="J53" s="73"/>
      <c r="K53" s="93" t="s">
        <v>37</v>
      </c>
      <c r="L53" s="499" t="s">
        <v>37</v>
      </c>
      <c r="M53" s="500"/>
      <c r="N53" s="93" t="s">
        <v>37</v>
      </c>
      <c r="O53" s="93" t="s">
        <v>37</v>
      </c>
      <c r="P53" s="73"/>
      <c r="Q53" s="104"/>
      <c r="R53" s="509"/>
      <c r="S53" s="510"/>
    </row>
    <row r="54" spans="1:19" s="5" customFormat="1" ht="15" customHeight="1" x14ac:dyDescent="0.2">
      <c r="A54" s="97" t="s">
        <v>387</v>
      </c>
      <c r="B54" s="492" t="str">
        <f>IF(OR(Eingabe!$L$108="Ausgabe freie Lüftung",AND(Eingabe!L108="Ausgabe freie Lüftung und Ausgabe vg R-LG",Eingabe!L97="nein")),IF(ISBLANK(Eingabe!$N97),"",Eingabe!$I97),"")</f>
        <v/>
      </c>
      <c r="C54" s="493"/>
      <c r="D54" s="493"/>
      <c r="E54" s="494"/>
      <c r="F54" s="99"/>
      <c r="G54" s="102" t="str">
        <f>IF($B54="",CHAR(111),IF(OR(Eingabe!$L$108="Ausgabe freie Lüftung",Eingabe!L108="Ausgabe freie Lüftung und Ausgabe vg R-LG"),CHAR(254),CHAR(111)))</f>
        <v>o</v>
      </c>
      <c r="H54" s="4"/>
      <c r="I54" s="102" t="str">
        <f>IF($B54="",CHAR(111),IF(OR(Eingabe!$L$108="Ausgabe freie Lüftung",Eingabe!L108="Ausgabe freie Lüftung und Ausgabe vg R-LG"),CHAR(254),CHAR(111)))</f>
        <v>o</v>
      </c>
      <c r="J54" s="4"/>
      <c r="K54" s="102" t="str">
        <f>CHAR(111)</f>
        <v>o</v>
      </c>
      <c r="L54" s="495" t="str">
        <f>CHAR(111)</f>
        <v>o</v>
      </c>
      <c r="M54" s="496"/>
      <c r="N54" s="102" t="str">
        <f>CHAR(111)</f>
        <v>o</v>
      </c>
      <c r="O54" s="102" t="str">
        <f>CHAR(111)</f>
        <v>o</v>
      </c>
      <c r="P54" s="4"/>
      <c r="Q54" s="103"/>
      <c r="R54" s="503"/>
      <c r="S54" s="504"/>
    </row>
    <row r="55" spans="1:19" s="5" customFormat="1" ht="15" customHeight="1" x14ac:dyDescent="0.2">
      <c r="A55" s="212" t="s">
        <v>386</v>
      </c>
      <c r="B55" s="28" t="str">
        <f>IF(B54="","",IF(ISBLANK(Eingabe!$N97),"",Eingabe!$Q97))</f>
        <v/>
      </c>
      <c r="C55" s="28" t="s">
        <v>25</v>
      </c>
      <c r="D55" s="100" t="s">
        <v>345</v>
      </c>
      <c r="E55" s="213" t="s">
        <v>389</v>
      </c>
      <c r="F55" s="92"/>
      <c r="G55" s="93" t="str">
        <f>IF(G54="o","-",IF(Eingabe!$X$67="Querlüftung (FS)",2*Eingabe!$Y$92/(Eingabe!$Y$101+Eingabe!$Y$84)*$N$19,IF(Eingabe!$X$67="Querlüftung",2*Eingabe!$Y$92/(Eingabe!$Y$101+Eingabe!$Y$84)*$N$25,IF(Eingabe!$X$67="Schachtlüftung",Eingabe!$Y$92/Eingabe!$Y$101*$N$25,"Fehler"))))</f>
        <v>-</v>
      </c>
      <c r="H55" s="92"/>
      <c r="I55" s="93" t="str">
        <f>IF(I54="o","-",IF(Eingabe!$X$67="Querlüftung (FS)",2*Eingabe!$Y$92/(Eingabe!$Y$101+Eingabe!$Y$84)*$N$21,IF(Eingabe!$X$67="Querlüftung",2*Eingabe!$Y$92/(Eingabe!$Y$101+Eingabe!$Y$84)*$N$27,IF(Eingabe!$X$67="Schachtlüftung",Eingabe!$Y$92/Eingabe!$Y$101*$N$27,"Fehler"))))</f>
        <v>-</v>
      </c>
      <c r="J55" s="73"/>
      <c r="K55" s="93" t="s">
        <v>37</v>
      </c>
      <c r="L55" s="499" t="s">
        <v>37</v>
      </c>
      <c r="M55" s="500"/>
      <c r="N55" s="93" t="s">
        <v>37</v>
      </c>
      <c r="O55" s="93" t="s">
        <v>37</v>
      </c>
      <c r="P55" s="73"/>
      <c r="Q55" s="104"/>
      <c r="R55" s="509"/>
      <c r="S55" s="510"/>
    </row>
    <row r="56" spans="1:19" s="5" customFormat="1" ht="15" customHeight="1" x14ac:dyDescent="0.2">
      <c r="A56" s="97" t="s">
        <v>387</v>
      </c>
      <c r="B56" s="492" t="str">
        <f>IF(OR(Eingabe!$L$108="Ausgabe freie Lüftung",AND(Eingabe!L108="Ausgabe freie Lüftung und Ausgabe vg R-LG",Eingabe!L98="nein")),IF(ISBLANK(Eingabe!$N98),"",Eingabe!$I98),"")</f>
        <v/>
      </c>
      <c r="C56" s="493"/>
      <c r="D56" s="493"/>
      <c r="E56" s="494"/>
      <c r="F56" s="99"/>
      <c r="G56" s="102" t="str">
        <f>IF($B56="",CHAR(111),IF(OR(Eingabe!$L$108="Ausgabe freie Lüftung",Eingabe!L108="Ausgabe freie Lüftung und Ausgabe vg R-LG"),CHAR(254),CHAR(111)))</f>
        <v>o</v>
      </c>
      <c r="H56" s="4"/>
      <c r="I56" s="102" t="str">
        <f>IF($B56="",CHAR(111),IF(OR(Eingabe!$L$108="Ausgabe freie Lüftung",Eingabe!L108="Ausgabe freie Lüftung und Ausgabe vg R-LG"),CHAR(254),CHAR(111)))</f>
        <v>o</v>
      </c>
      <c r="J56" s="4"/>
      <c r="K56" s="102" t="str">
        <f>CHAR(111)</f>
        <v>o</v>
      </c>
      <c r="L56" s="495" t="str">
        <f>CHAR(111)</f>
        <v>o</v>
      </c>
      <c r="M56" s="496"/>
      <c r="N56" s="102" t="str">
        <f>CHAR(111)</f>
        <v>o</v>
      </c>
      <c r="O56" s="102" t="str">
        <f>CHAR(111)</f>
        <v>o</v>
      </c>
      <c r="P56" s="4"/>
      <c r="Q56" s="103"/>
      <c r="R56" s="503"/>
      <c r="S56" s="504"/>
    </row>
    <row r="57" spans="1:19" s="5" customFormat="1" ht="15" customHeight="1" x14ac:dyDescent="0.2">
      <c r="A57" s="212" t="s">
        <v>386</v>
      </c>
      <c r="B57" s="28" t="str">
        <f>IF(B56="","",IF(ISBLANK(Eingabe!$N98),"",Eingabe!$Q98))</f>
        <v/>
      </c>
      <c r="C57" s="28" t="s">
        <v>25</v>
      </c>
      <c r="D57" s="100" t="s">
        <v>345</v>
      </c>
      <c r="E57" s="213" t="s">
        <v>389</v>
      </c>
      <c r="F57" s="92"/>
      <c r="G57" s="93" t="str">
        <f>IF(G56="o","-",IF(Eingabe!$X$67="Querlüftung (FS)",2*Eingabe!$Y$93/(Eingabe!$Y$101+Eingabe!$Y$84)*$N$19,IF(Eingabe!$X$67="Querlüftung",2*Eingabe!$Y$93/(Eingabe!$Y$101+Eingabe!$Y$84)*$N$25,IF(Eingabe!$X$67="Schachtlüftung",Eingabe!$Y$93/Eingabe!$Y$101*$N$25,"Fehler"))))</f>
        <v>-</v>
      </c>
      <c r="H57" s="92"/>
      <c r="I57" s="93" t="str">
        <f>IF(I56="o","-",IF(Eingabe!$X$67="Querlüftung (FS)",2*Eingabe!$Y$93/(Eingabe!$Y$101+Eingabe!$Y$84)*$N$21,IF(Eingabe!$X$67="Querlüftung",2*Eingabe!$Y$93/(Eingabe!$Y$101+Eingabe!$Y$84)*$N$27,IF(Eingabe!$X$67="Schachtlüftung",Eingabe!$Y$93/Eingabe!$Y$101*$N$27,"Fehler"))))</f>
        <v>-</v>
      </c>
      <c r="J57" s="73"/>
      <c r="K57" s="93" t="s">
        <v>37</v>
      </c>
      <c r="L57" s="499" t="s">
        <v>37</v>
      </c>
      <c r="M57" s="500"/>
      <c r="N57" s="93" t="s">
        <v>37</v>
      </c>
      <c r="O57" s="93" t="s">
        <v>37</v>
      </c>
      <c r="P57" s="73"/>
      <c r="Q57" s="104"/>
      <c r="R57" s="509"/>
      <c r="S57" s="510"/>
    </row>
    <row r="58" spans="1:19" s="5" customFormat="1" ht="15" customHeight="1" x14ac:dyDescent="0.2">
      <c r="A58" s="97" t="s">
        <v>387</v>
      </c>
      <c r="B58" s="492" t="str">
        <f>IF(OR(Eingabe!$L$108="Ausgabe freie Lüftung",AND(Eingabe!L108="Ausgabe freie Lüftung und Ausgabe vg R-LG",Eingabe!L99="nein")),IF(ISBLANK(Eingabe!$N99),"",Eingabe!$I99),"")</f>
        <v/>
      </c>
      <c r="C58" s="493"/>
      <c r="D58" s="493"/>
      <c r="E58" s="494"/>
      <c r="F58" s="99"/>
      <c r="G58" s="102" t="str">
        <f>IF($B58="",CHAR(111),IF(OR(Eingabe!$L$108="Ausgabe freie Lüftung",Eingabe!L108="Ausgabe freie Lüftung und Ausgabe vg R-LG"),CHAR(254),CHAR(111)))</f>
        <v>o</v>
      </c>
      <c r="H58" s="4"/>
      <c r="I58" s="102" t="str">
        <f>IF($B58="",CHAR(111),IF(OR(Eingabe!$L$108="Ausgabe freie Lüftung",Eingabe!L108="Ausgabe freie Lüftung und Ausgabe vg R-LG"),CHAR(254),CHAR(111)))</f>
        <v>o</v>
      </c>
      <c r="J58" s="4"/>
      <c r="K58" s="102" t="str">
        <f>CHAR(111)</f>
        <v>o</v>
      </c>
      <c r="L58" s="495" t="str">
        <f>CHAR(111)</f>
        <v>o</v>
      </c>
      <c r="M58" s="496"/>
      <c r="N58" s="102" t="str">
        <f>CHAR(111)</f>
        <v>o</v>
      </c>
      <c r="O58" s="102" t="str">
        <f>CHAR(111)</f>
        <v>o</v>
      </c>
      <c r="P58" s="4"/>
      <c r="Q58" s="103"/>
      <c r="R58" s="503"/>
      <c r="S58" s="504"/>
    </row>
    <row r="59" spans="1:19" s="5" customFormat="1" ht="15" customHeight="1" x14ac:dyDescent="0.2">
      <c r="A59" s="212" t="s">
        <v>386</v>
      </c>
      <c r="B59" s="28" t="str">
        <f>IF(B58="","",IF(ISBLANK(Eingabe!$N99),"",Eingabe!$Q99))</f>
        <v/>
      </c>
      <c r="C59" s="28" t="s">
        <v>25</v>
      </c>
      <c r="D59" s="100" t="s">
        <v>345</v>
      </c>
      <c r="E59" s="213" t="s">
        <v>389</v>
      </c>
      <c r="F59" s="92"/>
      <c r="G59" s="93" t="str">
        <f>IF(G58="o","-",IF(Eingabe!$X$67="Querlüftung (FS)",2*Eingabe!$Y$94/(Eingabe!$Y$101+Eingabe!$Y$84)*$N$19,IF(Eingabe!$X$67="Querlüftung",2*Eingabe!$Y$94/(Eingabe!$Y$101+Eingabe!$Y$84)*$N$25,IF(Eingabe!$X$67="Schachtlüftung",Eingabe!$Y$94/Eingabe!$Y$101*$N$25,"Fehler"))))</f>
        <v>-</v>
      </c>
      <c r="H59" s="92"/>
      <c r="I59" s="93" t="str">
        <f>IF(I58="o","-",IF(Eingabe!$X$67="Querlüftung (FS)",2*Eingabe!$Y$94/(Eingabe!$Y$101+Eingabe!$Y$84)*$N$21,IF(Eingabe!$X$67="Querlüftung",2*Eingabe!$Y$94/(Eingabe!$Y$101+Eingabe!$Y$84)*$N$27,IF(Eingabe!$X$67="Schachtlüftung",Eingabe!$Y$94/Eingabe!$Y$101*$N$27,"Fehler"))))</f>
        <v>-</v>
      </c>
      <c r="J59" s="73"/>
      <c r="K59" s="93" t="s">
        <v>37</v>
      </c>
      <c r="L59" s="499" t="s">
        <v>37</v>
      </c>
      <c r="M59" s="500"/>
      <c r="N59" s="93" t="s">
        <v>37</v>
      </c>
      <c r="O59" s="93" t="s">
        <v>37</v>
      </c>
      <c r="P59" s="73"/>
      <c r="Q59" s="104"/>
      <c r="R59" s="509"/>
      <c r="S59" s="510"/>
    </row>
    <row r="60" spans="1:19" s="5" customFormat="1" ht="15" customHeight="1" x14ac:dyDescent="0.2">
      <c r="A60" s="97" t="s">
        <v>387</v>
      </c>
      <c r="B60" s="492" t="str">
        <f>IF(OR(Eingabe!$L$108="Ausgabe freie Lüftung",AND(Eingabe!L108="Ausgabe freie Lüftung und Ausgabe vg R-LG",Eingabe!L100="nein")),IF(ISBLANK(Eingabe!$N100),"",Eingabe!$I100),"")</f>
        <v/>
      </c>
      <c r="C60" s="493"/>
      <c r="D60" s="493"/>
      <c r="E60" s="494"/>
      <c r="F60" s="99"/>
      <c r="G60" s="102" t="str">
        <f>IF($B60="",CHAR(111),IF(OR(Eingabe!$L$108="Ausgabe freie Lüftung",Eingabe!L108="Ausgabe freie Lüftung und Ausgabe vg R-LG"),CHAR(254),CHAR(111)))</f>
        <v>o</v>
      </c>
      <c r="H60" s="4"/>
      <c r="I60" s="102" t="str">
        <f>IF($B60="",CHAR(111),IF(OR(Eingabe!$L$108="Ausgabe freie Lüftung",Eingabe!L108="Ausgabe freie Lüftung und Ausgabe vg R-LG"),CHAR(254),CHAR(111)))</f>
        <v>o</v>
      </c>
      <c r="J60" s="4"/>
      <c r="K60" s="102" t="str">
        <f>CHAR(111)</f>
        <v>o</v>
      </c>
      <c r="L60" s="495" t="str">
        <f>CHAR(111)</f>
        <v>o</v>
      </c>
      <c r="M60" s="496"/>
      <c r="N60" s="102" t="str">
        <f>CHAR(111)</f>
        <v>o</v>
      </c>
      <c r="O60" s="102" t="str">
        <f>CHAR(111)</f>
        <v>o</v>
      </c>
      <c r="P60" s="4"/>
      <c r="Q60" s="103"/>
      <c r="R60" s="503"/>
      <c r="S60" s="504"/>
    </row>
    <row r="61" spans="1:19" s="5" customFormat="1" ht="15" customHeight="1" x14ac:dyDescent="0.2">
      <c r="A61" s="212" t="s">
        <v>386</v>
      </c>
      <c r="B61" s="28" t="str">
        <f>IF(B60="","",IF(ISBLANK(Eingabe!$N100),"",Eingabe!$Q100))</f>
        <v/>
      </c>
      <c r="C61" s="28" t="s">
        <v>25</v>
      </c>
      <c r="D61" s="100" t="s">
        <v>345</v>
      </c>
      <c r="E61" s="213" t="s">
        <v>389</v>
      </c>
      <c r="F61" s="92"/>
      <c r="G61" s="93" t="str">
        <f>IF(G60="o","-",IF(Eingabe!$X$67="Querlüftung (FS)",2*Eingabe!$Y$95/(Eingabe!$Y$101+Eingabe!$Y$84)*$N$19,IF(Eingabe!$X$67="Querlüftung",2*Eingabe!$Y$95/(Eingabe!$Y$101+Eingabe!$Y$84)*$N$25,IF(Eingabe!$X$67="Schachtlüftung",Eingabe!$Y$95/Eingabe!$Y$101*$N$25,"Fehler"))))</f>
        <v>-</v>
      </c>
      <c r="H61" s="92"/>
      <c r="I61" s="93" t="str">
        <f>IF(I60="o","-",IF(Eingabe!$X$67="Querlüftung (FS)",2*Eingabe!$Y$95/(Eingabe!$Y$101+Eingabe!$Y$84)*$N$21,IF(Eingabe!$X$67="Querlüftung",2*Eingabe!$Y$95/(Eingabe!$Y$101+Eingabe!$Y$84)*$N$27,IF(Eingabe!$X$67="Schachtlüftung",Eingabe!$Y$95/Eingabe!$Y$101*$N$27,"Fehler"))))</f>
        <v>-</v>
      </c>
      <c r="J61" s="73"/>
      <c r="K61" s="93" t="s">
        <v>37</v>
      </c>
      <c r="L61" s="499" t="s">
        <v>37</v>
      </c>
      <c r="M61" s="500"/>
      <c r="N61" s="93" t="s">
        <v>37</v>
      </c>
      <c r="O61" s="93" t="s">
        <v>37</v>
      </c>
      <c r="P61" s="73"/>
      <c r="Q61" s="104"/>
      <c r="R61" s="509"/>
      <c r="S61" s="510"/>
    </row>
    <row r="62" spans="1:19" s="5" customFormat="1" ht="15" customHeight="1" x14ac:dyDescent="0.2">
      <c r="A62" s="97" t="s">
        <v>387</v>
      </c>
      <c r="B62" s="511" t="str">
        <f>IF(OR(Eingabe!$L$108="Ausgabe freie Lüftung",AND(Eingabe!L108="Ausgabe freie Lüftung und Ausgabe vg R-LG",Eingabe!L101="nein")),IF(ISBLANK(Eingabe!$N101),"",Eingabe!$I101),"")</f>
        <v/>
      </c>
      <c r="C62" s="512"/>
      <c r="D62" s="512"/>
      <c r="E62" s="513"/>
      <c r="F62" s="99"/>
      <c r="G62" s="102" t="str">
        <f>IF($B62="",CHAR(111),IF(OR(Eingabe!$L$108="Ausgabe freie Lüftung",Eingabe!L108="Ausgabe freie Lüftung und Ausgabe vg R-LG"),CHAR(254),CHAR(111)))</f>
        <v>o</v>
      </c>
      <c r="H62" s="4"/>
      <c r="I62" s="102" t="str">
        <f>IF($B62="",CHAR(111),IF(OR(Eingabe!$L$108="Ausgabe freie Lüftung",Eingabe!L108="Ausgabe freie Lüftung und Ausgabe vg R-LG"),CHAR(254),CHAR(111)))</f>
        <v>o</v>
      </c>
      <c r="J62" s="4"/>
      <c r="K62" s="102" t="str">
        <f>CHAR(111)</f>
        <v>o</v>
      </c>
      <c r="L62" s="495" t="str">
        <f>CHAR(111)</f>
        <v>o</v>
      </c>
      <c r="M62" s="496"/>
      <c r="N62" s="102" t="str">
        <f>CHAR(111)</f>
        <v>o</v>
      </c>
      <c r="O62" s="102" t="str">
        <f>CHAR(111)</f>
        <v>o</v>
      </c>
      <c r="P62" s="4"/>
      <c r="Q62" s="103"/>
      <c r="R62" s="503"/>
      <c r="S62" s="504"/>
    </row>
    <row r="63" spans="1:19" s="5" customFormat="1" ht="15" customHeight="1" x14ac:dyDescent="0.2">
      <c r="A63" s="212" t="s">
        <v>386</v>
      </c>
      <c r="B63" s="28" t="str">
        <f>IF(B62="","",IF(ISBLANK(Eingabe!$N101),"",Eingabe!$Q101))</f>
        <v/>
      </c>
      <c r="C63" s="28" t="s">
        <v>25</v>
      </c>
      <c r="D63" s="100" t="s">
        <v>345</v>
      </c>
      <c r="E63" s="213" t="s">
        <v>389</v>
      </c>
      <c r="F63" s="92"/>
      <c r="G63" s="93" t="str">
        <f>IF(G62="o","-",IF(Eingabe!$X$67="Querlüftung (FS)",2*Eingabe!$Y$96/(Eingabe!$Y$101+Eingabe!$Y$84)*$N$19,IF(Eingabe!$X$67="Querlüftung",2*Eingabe!$Y$96/(Eingabe!$Y$101+Eingabe!$Y$84)*$N$25,IF(Eingabe!$X$67="Schachtlüftung",Eingabe!$Y$96/Eingabe!$Y$101*$N$25,"Fehler"))))</f>
        <v>-</v>
      </c>
      <c r="H63" s="92"/>
      <c r="I63" s="93" t="str">
        <f>IF(I62="o","-",IF(Eingabe!$X$67="Querlüftung (FS)",2*Eingabe!$Y$96/(Eingabe!$Y$101+Eingabe!$Y$84)*$N$21,IF(Eingabe!$X$67="Querlüftung",2*Eingabe!$Y$96/(Eingabe!$Y$101+Eingabe!$Y$84)*$N$27,IF(Eingabe!$X$67="Schachtlüftung",Eingabe!$Y$96/Eingabe!$Y$101*$N$27,"Fehler"))))</f>
        <v>-</v>
      </c>
      <c r="J63" s="73"/>
      <c r="K63" s="93" t="s">
        <v>37</v>
      </c>
      <c r="L63" s="499" t="s">
        <v>37</v>
      </c>
      <c r="M63" s="500"/>
      <c r="N63" s="93" t="s">
        <v>37</v>
      </c>
      <c r="O63" s="93" t="s">
        <v>37</v>
      </c>
      <c r="P63" s="73"/>
      <c r="Q63" s="104"/>
      <c r="R63" s="509"/>
      <c r="S63" s="510"/>
    </row>
    <row r="64" spans="1:19" s="5" customFormat="1" ht="15" customHeight="1" x14ac:dyDescent="0.2">
      <c r="A64" s="97" t="s">
        <v>387</v>
      </c>
      <c r="B64" s="492" t="str">
        <f>IF(OR(Eingabe!$L$108="Ausgabe freie Lüftung",AND(Eingabe!L108="Ausgabe freie Lüftung und Ausgabe vg R-LG",Eingabe!L102="nein")),IF(ISBLANK(Eingabe!$N102),"",Eingabe!$I102),"")</f>
        <v/>
      </c>
      <c r="C64" s="493"/>
      <c r="D64" s="493"/>
      <c r="E64" s="494"/>
      <c r="F64" s="99"/>
      <c r="G64" s="102" t="str">
        <f>IF($B64="",CHAR(111),IF(OR(Eingabe!$L$108="Ausgabe freie Lüftung",Eingabe!L108="Ausgabe freie Lüftung und Ausgabe vg R-LG"),CHAR(254),CHAR(111)))</f>
        <v>o</v>
      </c>
      <c r="H64" s="4"/>
      <c r="I64" s="102" t="str">
        <f>IF($B64="",CHAR(111),IF(OR(Eingabe!$L$108="Ausgabe freie Lüftung",Eingabe!L108="Ausgabe freie Lüftung und Ausgabe vg R-LG"),CHAR(254),CHAR(111)))</f>
        <v>o</v>
      </c>
      <c r="J64" s="4"/>
      <c r="K64" s="102" t="str">
        <f>CHAR(111)</f>
        <v>o</v>
      </c>
      <c r="L64" s="495" t="str">
        <f>CHAR(111)</f>
        <v>o</v>
      </c>
      <c r="M64" s="496"/>
      <c r="N64" s="102" t="str">
        <f>CHAR(111)</f>
        <v>o</v>
      </c>
      <c r="O64" s="102" t="str">
        <f>CHAR(111)</f>
        <v>o</v>
      </c>
      <c r="P64" s="4"/>
      <c r="Q64" s="103"/>
      <c r="R64" s="503"/>
      <c r="S64" s="504"/>
    </row>
    <row r="65" spans="1:19" s="5" customFormat="1" ht="15" customHeight="1" x14ac:dyDescent="0.2">
      <c r="A65" s="212" t="s">
        <v>386</v>
      </c>
      <c r="B65" s="28" t="str">
        <f>IF(B64="","",IF(ISBLANK(Eingabe!$N102),"",Eingabe!$Q102))</f>
        <v/>
      </c>
      <c r="C65" s="28" t="s">
        <v>25</v>
      </c>
      <c r="D65" s="100" t="s">
        <v>345</v>
      </c>
      <c r="E65" s="213" t="s">
        <v>389</v>
      </c>
      <c r="F65" s="92"/>
      <c r="G65" s="93" t="str">
        <f>IF(G64="o","-",IF(Eingabe!$X$67="Querlüftung (FS)",2*Eingabe!$Y$97/(Eingabe!$Y$101+Eingabe!$Y$84)*$N$19,IF(Eingabe!$X$67="Querlüftung",2*Eingabe!$Y$97/(Eingabe!$Y$101+Eingabe!$Y$84)*$N$25,IF(Eingabe!$X$67="Schachtlüftung",Eingabe!$Y$97/Eingabe!$Y$101*$N$25,"Fehler"))))</f>
        <v>-</v>
      </c>
      <c r="H65" s="92"/>
      <c r="I65" s="93" t="str">
        <f>IF(I64="o","-",IF(Eingabe!$X$67="Querlüftung (FS)",2*Eingabe!$Y$97/(Eingabe!$Y$101+Eingabe!$Y$84)*$N$21,IF(Eingabe!$X$67="Querlüftung",2*Eingabe!$Y$97/(Eingabe!$Y$101+Eingabe!$Y$84)*$N$27,IF(Eingabe!$X$67="Schachtlüftung",Eingabe!$Y$97/Eingabe!$Y$101*$N$27,"Fehler"))))</f>
        <v>-</v>
      </c>
      <c r="J65" s="73"/>
      <c r="K65" s="93" t="s">
        <v>37</v>
      </c>
      <c r="L65" s="499" t="s">
        <v>37</v>
      </c>
      <c r="M65" s="500"/>
      <c r="N65" s="93" t="s">
        <v>37</v>
      </c>
      <c r="O65" s="93" t="s">
        <v>37</v>
      </c>
      <c r="P65" s="73"/>
      <c r="Q65" s="104"/>
      <c r="R65" s="509"/>
      <c r="S65" s="510"/>
    </row>
    <row r="66" spans="1:19" s="5" customFormat="1" ht="15" customHeight="1" x14ac:dyDescent="0.2">
      <c r="A66" s="97" t="s">
        <v>387</v>
      </c>
      <c r="B66" s="492" t="str">
        <f>IF(OR(Eingabe!$L$108="Ausgabe freie Lüftung",AND(Eingabe!L108="Ausgabe freie Lüftung und Ausgabe vg R-LG",Eingabe!L103="nein")),IF(ISBLANK(Eingabe!$N103),"",Eingabe!$I103),"")</f>
        <v/>
      </c>
      <c r="C66" s="493"/>
      <c r="D66" s="493"/>
      <c r="E66" s="494"/>
      <c r="F66" s="99"/>
      <c r="G66" s="102" t="str">
        <f>IF($B66="",CHAR(111),IF(OR(Eingabe!$L$108="Ausgabe freie Lüftung",Eingabe!L108="Ausgabe freie Lüftung und Ausgabe vg R-LG"),CHAR(254),CHAR(111)))</f>
        <v>o</v>
      </c>
      <c r="H66" s="4"/>
      <c r="I66" s="102" t="str">
        <f>IF($B66="",CHAR(111),IF(OR(Eingabe!$L$108="Ausgabe freie Lüftung",Eingabe!L108="Ausgabe freie Lüftung und Ausgabe vg R-LG"),CHAR(254),CHAR(111)))</f>
        <v>o</v>
      </c>
      <c r="J66" s="4"/>
      <c r="K66" s="102" t="str">
        <f>CHAR(111)</f>
        <v>o</v>
      </c>
      <c r="L66" s="495" t="str">
        <f>CHAR(111)</f>
        <v>o</v>
      </c>
      <c r="M66" s="496"/>
      <c r="N66" s="102" t="str">
        <f>CHAR(111)</f>
        <v>o</v>
      </c>
      <c r="O66" s="102" t="str">
        <f>CHAR(111)</f>
        <v>o</v>
      </c>
      <c r="P66" s="4"/>
      <c r="Q66" s="103"/>
      <c r="R66" s="503"/>
      <c r="S66" s="504"/>
    </row>
    <row r="67" spans="1:19" s="5" customFormat="1" ht="15" customHeight="1" x14ac:dyDescent="0.2">
      <c r="A67" s="212" t="s">
        <v>386</v>
      </c>
      <c r="B67" s="28" t="str">
        <f>IF(B66="","",IF(ISBLANK(Eingabe!$N103),"",Eingabe!$Q103))</f>
        <v/>
      </c>
      <c r="C67" s="28" t="s">
        <v>25</v>
      </c>
      <c r="D67" s="100" t="s">
        <v>345</v>
      </c>
      <c r="E67" s="213" t="s">
        <v>389</v>
      </c>
      <c r="F67" s="92"/>
      <c r="G67" s="93" t="str">
        <f>IF(G66="o","-",IF(Eingabe!$X$67="Querlüftung (FS)",2*Eingabe!$Y$98/(Eingabe!$Y$101+Eingabe!$Y$84)*$N$19,IF(Eingabe!$X$67="Querlüftung",2*Eingabe!$Y$98/(Eingabe!$Y$101+Eingabe!$Y$84)*$N$25,IF(Eingabe!$X$67="Schachtlüftung",Eingabe!$Y$98/Eingabe!$Y$101*$N$25,"Fehler"))))</f>
        <v>-</v>
      </c>
      <c r="H67" s="92"/>
      <c r="I67" s="93" t="str">
        <f>IF(I66="o","-",IF(Eingabe!$X$67="Querlüftung (FS)",2*Eingabe!$Y$98/(Eingabe!$Y$101+Eingabe!$Y$84)*$N$21,IF(Eingabe!$X$67="Querlüftung",2*Eingabe!$Y$98/(Eingabe!$Y$101+Eingabe!$Y$84)*$N$27,IF(Eingabe!$X$67="Schachtlüftung",Eingabe!$Y$98/Eingabe!$Y$101*$N$27,"Fehler"))))</f>
        <v>-</v>
      </c>
      <c r="J67" s="73"/>
      <c r="K67" s="93" t="s">
        <v>37</v>
      </c>
      <c r="L67" s="499" t="s">
        <v>37</v>
      </c>
      <c r="M67" s="500"/>
      <c r="N67" s="93" t="s">
        <v>37</v>
      </c>
      <c r="O67" s="93" t="s">
        <v>37</v>
      </c>
      <c r="P67" s="73"/>
      <c r="Q67" s="104"/>
      <c r="R67" s="509"/>
      <c r="S67" s="510"/>
    </row>
    <row r="68" spans="1:19" s="5" customFormat="1" ht="15" customHeight="1" x14ac:dyDescent="0.2">
      <c r="A68" s="97" t="s">
        <v>387</v>
      </c>
      <c r="B68" s="492" t="str">
        <f>IF(OR(Eingabe!$L$108="Ausgabe freie Lüftung",AND(Eingabe!L108="Ausgabe freie Lüftung und Ausgabe vg R-LG",Eingabe!L104="nein")),IF(ISBLANK(Eingabe!$N104),"",Eingabe!$I104),"")</f>
        <v/>
      </c>
      <c r="C68" s="493"/>
      <c r="D68" s="493"/>
      <c r="E68" s="494"/>
      <c r="F68" s="99"/>
      <c r="G68" s="102" t="str">
        <f>IF($B68="",CHAR(111),IF(OR(Eingabe!$L$108="Ausgabe freie Lüftung",Eingabe!L108="Ausgabe freie Lüftung und Ausgabe vg R-LG"),CHAR(254),CHAR(111)))</f>
        <v>o</v>
      </c>
      <c r="H68" s="4"/>
      <c r="I68" s="102" t="str">
        <f>IF($B68="",CHAR(111),IF(OR(Eingabe!$L$108="Ausgabe freie Lüftung",Eingabe!L108="Ausgabe freie Lüftung und Ausgabe vg R-LG"),CHAR(254),CHAR(111)))</f>
        <v>o</v>
      </c>
      <c r="J68" s="4"/>
      <c r="K68" s="102" t="str">
        <f>CHAR(111)</f>
        <v>o</v>
      </c>
      <c r="L68" s="495" t="str">
        <f>CHAR(111)</f>
        <v>o</v>
      </c>
      <c r="M68" s="496"/>
      <c r="N68" s="102" t="str">
        <f>CHAR(111)</f>
        <v>o</v>
      </c>
      <c r="O68" s="102" t="str">
        <f>CHAR(111)</f>
        <v>o</v>
      </c>
      <c r="P68" s="4"/>
      <c r="Q68" s="103"/>
      <c r="R68" s="503"/>
      <c r="S68" s="504"/>
    </row>
    <row r="69" spans="1:19" s="5" customFormat="1" ht="15" customHeight="1" x14ac:dyDescent="0.2">
      <c r="A69" s="212" t="s">
        <v>386</v>
      </c>
      <c r="B69" s="28" t="str">
        <f>IF(B68="","",IF(ISBLANK(Eingabe!$N104),"",Eingabe!$Q104))</f>
        <v/>
      </c>
      <c r="C69" s="28" t="s">
        <v>25</v>
      </c>
      <c r="D69" s="100" t="s">
        <v>345</v>
      </c>
      <c r="E69" s="213" t="s">
        <v>389</v>
      </c>
      <c r="F69" s="92"/>
      <c r="G69" s="93" t="str">
        <f>IF(G68="o","-",IF(Eingabe!$X$67="Querlüftung (FS)",2*Eingabe!$Y$99/(Eingabe!$Y$101+Eingabe!$Y$84)*$N$19,IF(Eingabe!$X$67="Querlüftung",2*Eingabe!$Y$99/(Eingabe!$Y$101+Eingabe!$Y$84)*$N$25,IF(Eingabe!$X$67="Schachtlüftung",Eingabe!$Y$99/Eingabe!$Y$101*$N$25,"Fehler"))))</f>
        <v>-</v>
      </c>
      <c r="H69" s="92"/>
      <c r="I69" s="93" t="str">
        <f>IF(I68="o","-",IF(Eingabe!$X$67="Querlüftung (FS)",2*Eingabe!$Y$99/(Eingabe!$Y$101+Eingabe!$Y$84)*$N$21,IF(Eingabe!$X$67="Querlüftung",2*Eingabe!$Y$99/(Eingabe!$Y$101+Eingabe!$Y$84)*$N$27,IF(Eingabe!$X$67="Schachtlüftung",Eingabe!$Y$99/Eingabe!$Y$101*$N$27,"Fehler"))))</f>
        <v>-</v>
      </c>
      <c r="J69" s="73"/>
      <c r="K69" s="93" t="s">
        <v>37</v>
      </c>
      <c r="L69" s="499" t="s">
        <v>37</v>
      </c>
      <c r="M69" s="500"/>
      <c r="N69" s="93" t="s">
        <v>37</v>
      </c>
      <c r="O69" s="93" t="s">
        <v>37</v>
      </c>
      <c r="P69" s="73"/>
      <c r="Q69" s="104"/>
      <c r="R69" s="509"/>
      <c r="S69" s="510"/>
    </row>
    <row r="70" spans="1:19" s="5" customFormat="1" ht="15" customHeight="1" x14ac:dyDescent="0.2">
      <c r="A70" s="97" t="s">
        <v>387</v>
      </c>
      <c r="B70" s="492" t="str">
        <f>IF(OR(Eingabe!$L$108="Ausgabe freie Lüftung",AND(Eingabe!L108="Ausgabe freie Lüftung und Ausgabe vg R-LG",Eingabe!L105="nein")),IF(ISBLANK(Eingabe!$N105),"",Eingabe!$I105),"")</f>
        <v/>
      </c>
      <c r="C70" s="493"/>
      <c r="D70" s="493"/>
      <c r="E70" s="494"/>
      <c r="F70" s="99"/>
      <c r="G70" s="102" t="str">
        <f>IF($B70="",CHAR(111),IF(OR(Eingabe!$L$108="Ausgabe freie Lüftung",Eingabe!L108="Ausgabe freie Lüftung und Ausgabe vg R-LG"),CHAR(254),CHAR(111)))</f>
        <v>o</v>
      </c>
      <c r="H70" s="4"/>
      <c r="I70" s="102" t="str">
        <f>IF($B70="",CHAR(111),IF(OR(Eingabe!$L$108="Ausgabe freie Lüftung",Eingabe!L108="Ausgabe freie Lüftung und Ausgabe vg R-LG"),CHAR(254),CHAR(111)))</f>
        <v>o</v>
      </c>
      <c r="J70" s="4"/>
      <c r="K70" s="102" t="str">
        <f>CHAR(111)</f>
        <v>o</v>
      </c>
      <c r="L70" s="495" t="str">
        <f>CHAR(111)</f>
        <v>o</v>
      </c>
      <c r="M70" s="496"/>
      <c r="N70" s="102" t="str">
        <f>CHAR(111)</f>
        <v>o</v>
      </c>
      <c r="O70" s="102" t="str">
        <f>CHAR(111)</f>
        <v>o</v>
      </c>
      <c r="P70" s="4"/>
      <c r="Q70" s="103"/>
      <c r="R70" s="503"/>
      <c r="S70" s="504"/>
    </row>
    <row r="71" spans="1:19" s="5" customFormat="1" ht="15" customHeight="1" x14ac:dyDescent="0.2">
      <c r="A71" s="214" t="s">
        <v>386</v>
      </c>
      <c r="B71" s="109" t="str">
        <f>IF(B70="","",IF(ISBLANK(Eingabe!$N105),"",Eingabe!$Q105))</f>
        <v/>
      </c>
      <c r="C71" s="109" t="s">
        <v>25</v>
      </c>
      <c r="D71" s="91" t="s">
        <v>345</v>
      </c>
      <c r="E71" s="117" t="s">
        <v>389</v>
      </c>
      <c r="F71" s="111"/>
      <c r="G71" s="93" t="str">
        <f>IF(G70="o","-",IF(Eingabe!$X$67="Querlüftung (FS)",2*Eingabe!$Y$100/(Eingabe!$Y$101+Eingabe!$Y$84)*$N$19,IF(Eingabe!$X$67="Querlüftung",2*Eingabe!$Y$100/(Eingabe!$Y$101+Eingabe!$Y$84)*$N$25,IF(Eingabe!$X$67="Schachtlüftung",Eingabe!$Y$100/Eingabe!$Y$101*$N$25,"Fehler"))))</f>
        <v>-</v>
      </c>
      <c r="H71" s="111"/>
      <c r="I71" s="93" t="str">
        <f>IF(I70="o","-",IF(Eingabe!$X$67="Querlüftung (FS)",2*Eingabe!$Y$100/(Eingabe!$Y$101+Eingabe!$Y$84)*$N$21,IF(Eingabe!$X$67="Querlüftung",2*Eingabe!$Y$100/(Eingabe!$Y$101+Eingabe!$Y$84)*$N$27,IF(Eingabe!$X$67="Schachtlüftung",Eingabe!$Y$100/Eingabe!$Y$101*$N$27,"Fehler"))))</f>
        <v>-</v>
      </c>
      <c r="J71" s="113"/>
      <c r="K71" s="112" t="s">
        <v>37</v>
      </c>
      <c r="L71" s="514" t="s">
        <v>37</v>
      </c>
      <c r="M71" s="515"/>
      <c r="N71" s="112" t="s">
        <v>37</v>
      </c>
      <c r="O71" s="112" t="s">
        <v>37</v>
      </c>
      <c r="P71" s="113"/>
      <c r="Q71" s="114"/>
      <c r="R71" s="516"/>
      <c r="S71" s="517"/>
    </row>
    <row r="72" spans="1:19" s="5" customFormat="1" ht="18" customHeight="1" x14ac:dyDescent="0.2">
      <c r="A72" s="116"/>
      <c r="B72" s="17"/>
      <c r="C72" s="90" t="s">
        <v>390</v>
      </c>
      <c r="D72" s="115" t="s">
        <v>391</v>
      </c>
      <c r="E72" s="117" t="s">
        <v>389</v>
      </c>
      <c r="F72" s="17"/>
      <c r="G72" s="118" t="str">
        <f>IF(Eingabe!$L$108="Ausgabe freie Lüftung und Ausgabe vg R-LG",SUM(G42:G71),IF($B42="","-",IF(G42="o","-",IF(G42="þ",SUM(G42:G71),0))))</f>
        <v>-</v>
      </c>
      <c r="H72" s="17"/>
      <c r="I72" s="118" t="str">
        <f>IF(Eingabe!$L$108="Ausgabe freie Lüftung und Ausgabe vg R-LG",SUM(I42:I71),IF($B42="","-",IF(I42="o","-",IF(I42="þ",SUM(I42:I71),0))))</f>
        <v>-</v>
      </c>
      <c r="J72" s="17"/>
      <c r="K72" s="118" t="str">
        <f>IF($B42="","-",IF(K42="o","-",IF(K42="þ",SUM(K42:K71),0)))</f>
        <v>-</v>
      </c>
      <c r="L72" s="518" t="str">
        <f>IF($B42="","-",IF(L42="o","-",IF(L42="þ",SUM(L42:L71),0)))</f>
        <v>-</v>
      </c>
      <c r="M72" s="519"/>
      <c r="N72" s="118" t="str">
        <f>IF($B42="","-",IF(N42="o","-",IF(N42="þ",SUM(N42:N71),0)))</f>
        <v>-</v>
      </c>
      <c r="O72" s="118" t="str">
        <f>IF($B42="","-",IF(O42="o","-",IF(O42="þ",SUM(O42:O71),0)))</f>
        <v>-</v>
      </c>
      <c r="P72" s="17"/>
      <c r="Q72" s="119"/>
      <c r="R72" s="520"/>
      <c r="S72" s="379"/>
    </row>
    <row r="73" spans="1:19" s="5" customFormat="1" ht="18" customHeight="1" x14ac:dyDescent="0.2">
      <c r="A73" s="33"/>
      <c r="B73" s="4"/>
      <c r="C73" s="263"/>
      <c r="D73" s="266"/>
      <c r="E73" s="267"/>
      <c r="F73" s="4"/>
      <c r="G73" s="268"/>
      <c r="H73" s="4"/>
      <c r="I73" s="268"/>
      <c r="J73" s="4"/>
      <c r="K73" s="268"/>
      <c r="L73" s="268"/>
      <c r="M73" s="268"/>
      <c r="N73" s="268"/>
      <c r="O73" s="268"/>
      <c r="P73" s="4"/>
      <c r="Q73" s="4"/>
      <c r="R73" s="74"/>
      <c r="S73" s="74"/>
    </row>
    <row r="74" spans="1:19" s="5" customFormat="1" ht="20.25" x14ac:dyDescent="0.3">
      <c r="A74" s="264" t="s">
        <v>457</v>
      </c>
      <c r="B74" s="54"/>
      <c r="C74" s="54"/>
      <c r="D74" s="54"/>
      <c r="E74" s="54"/>
      <c r="F74" s="54"/>
      <c r="G74" s="50"/>
      <c r="H74" s="50"/>
      <c r="I74" s="265" t="s">
        <v>461</v>
      </c>
      <c r="J74" s="4"/>
      <c r="K74" s="268"/>
      <c r="L74" s="268"/>
      <c r="M74" s="268"/>
      <c r="N74" s="268"/>
      <c r="O74" s="268"/>
      <c r="P74" s="4"/>
      <c r="Q74" s="4"/>
      <c r="R74" s="74"/>
      <c r="S74" s="74"/>
    </row>
    <row r="75" spans="1:19" ht="35.1" customHeight="1" x14ac:dyDescent="0.2"/>
    <row r="76" spans="1:19" ht="18" customHeight="1" x14ac:dyDescent="0.2">
      <c r="A76" s="36"/>
      <c r="B76" s="11"/>
      <c r="C76" s="11"/>
      <c r="D76" s="484" t="s">
        <v>379</v>
      </c>
      <c r="E76" s="485"/>
      <c r="F76" s="485"/>
      <c r="G76" s="485"/>
      <c r="H76" s="485"/>
      <c r="I76" s="485"/>
      <c r="J76" s="485"/>
      <c r="K76" s="485"/>
      <c r="L76" s="486"/>
      <c r="M76" s="11"/>
      <c r="N76" s="487" t="str">
        <f>IF(Eingabe!$L$108="Ausgabe freie Lüftung",Eingabe!$X$67,IF(Eingabe!$L$108="Ausgabe freie Lüftung und Ausgabe vg R-LG",Eingabe!$X$67,"siehe Ausgabe vg Lüftung!"))</f>
        <v>siehe Ausgabe vg Lüftung!</v>
      </c>
      <c r="O76" s="488"/>
      <c r="P76" s="488"/>
      <c r="Q76" s="488"/>
      <c r="R76" s="488"/>
      <c r="S76" s="489"/>
    </row>
    <row r="77" spans="1:19" ht="9.9499999999999993" customHeight="1" x14ac:dyDescent="0.2">
      <c r="A77" s="51"/>
      <c r="B77" s="50"/>
      <c r="C77" s="50"/>
      <c r="D77" s="50"/>
      <c r="E77" s="50"/>
      <c r="F77" s="50"/>
      <c r="G77" s="50"/>
      <c r="H77" s="50"/>
      <c r="I77" s="50"/>
      <c r="J77" s="50"/>
      <c r="K77" s="50"/>
      <c r="L77" s="50"/>
      <c r="M77" s="50"/>
      <c r="N77" s="50"/>
      <c r="O77" s="50"/>
      <c r="P77" s="50"/>
      <c r="Q77" s="50"/>
      <c r="R77" s="50"/>
      <c r="S77" s="52"/>
    </row>
    <row r="78" spans="1:19" ht="18" customHeight="1" x14ac:dyDescent="0.2">
      <c r="A78" s="44" t="s">
        <v>392</v>
      </c>
      <c r="B78" s="55"/>
      <c r="C78" s="55"/>
      <c r="D78" s="11"/>
      <c r="E78" s="11"/>
      <c r="F78" s="11"/>
      <c r="G78" s="105" t="s">
        <v>366</v>
      </c>
      <c r="H78" s="106"/>
      <c r="I78" s="105" t="s">
        <v>367</v>
      </c>
      <c r="J78" s="106"/>
      <c r="K78" s="105" t="s">
        <v>383</v>
      </c>
      <c r="L78" s="505" t="s">
        <v>385</v>
      </c>
      <c r="M78" s="506"/>
      <c r="N78" s="107" t="s">
        <v>384</v>
      </c>
      <c r="O78" s="107" t="s">
        <v>368</v>
      </c>
      <c r="P78" s="106"/>
      <c r="Q78" s="105"/>
      <c r="R78" s="507"/>
      <c r="S78" s="508"/>
    </row>
    <row r="79" spans="1:19" ht="15" customHeight="1" x14ac:dyDescent="0.2">
      <c r="A79" s="97" t="s">
        <v>387</v>
      </c>
      <c r="B79" s="492" t="str">
        <f>IF(OR(Eingabe!$L$108="Ausgabe freie Lüftung",AND(Eingabe!L108="Ausgabe freie Lüftung und Ausgabe vg R-LG",Eingabe!L74="nein")),IF(ISBLANK(Eingabe!$N74),"",Eingabe!$I74),"")</f>
        <v/>
      </c>
      <c r="C79" s="493"/>
      <c r="D79" s="493"/>
      <c r="E79" s="494"/>
      <c r="F79" s="99"/>
      <c r="G79" s="102" t="str">
        <f>IF($B79="",CHAR(111),IF(Eingabe!$X$67="Schachtlüftung",CHAR(111),CHAR(254)))</f>
        <v>o</v>
      </c>
      <c r="H79" s="4"/>
      <c r="I79" s="102" t="str">
        <f>IF($B79="",CHAR(111),CHAR(254))</f>
        <v>o</v>
      </c>
      <c r="J79" s="4"/>
      <c r="K79" s="102" t="str">
        <f>IF($B79="",CHAR(111),IF(Eingabe!$X$67="Schachtlüftung",CHAR(254),CHAR(111)))</f>
        <v>o</v>
      </c>
      <c r="L79" s="495" t="str">
        <f>CHAR(111)</f>
        <v>o</v>
      </c>
      <c r="M79" s="496"/>
      <c r="N79" s="102" t="str">
        <f>CHAR(111)</f>
        <v>o</v>
      </c>
      <c r="O79" s="102" t="str">
        <f>IF($B79="",CHAR(111),IF(Eingabe!$X$67="Schachtlüftung",CHAR(254),CHAR(111)))</f>
        <v>o</v>
      </c>
      <c r="P79" s="4"/>
      <c r="Q79" s="103"/>
      <c r="R79" s="497"/>
      <c r="S79" s="498"/>
    </row>
    <row r="80" spans="1:19" s="5" customFormat="1" ht="15" customHeight="1" x14ac:dyDescent="0.2">
      <c r="A80" s="212" t="s">
        <v>386</v>
      </c>
      <c r="B80" s="28" t="str">
        <f>IF(B79="","",IF(ISBLANK(Eingabe!$N74),"",Eingabe!$Q74))</f>
        <v/>
      </c>
      <c r="C80" s="28" t="s">
        <v>25</v>
      </c>
      <c r="D80" s="100" t="s">
        <v>345</v>
      </c>
      <c r="E80" s="213" t="s">
        <v>389</v>
      </c>
      <c r="F80" s="92"/>
      <c r="G80" s="93" t="str">
        <f>IF(G79="o","-",IF(Eingabe!$X$67="Querlüftung (FS)",2*Eingabe!$Y$69/(Eingabe!$Y$101+Eingabe!$Y$84)*$N$19,IF(Eingabe!$X$67="Querlüftung",2*Eingabe!$Y$69/(Eingabe!$Y$101+Eingabe!$Y$84)*$N$25,"-")))</f>
        <v>-</v>
      </c>
      <c r="H80" s="92"/>
      <c r="I80" s="93" t="str">
        <f>IF(I79="o","-",IF(Eingabe!$X$67="Querlüftung (FS)",2*Eingabe!$Y$69/(Eingabe!$Y$101+Eingabe!$Y$84)*$N$21,IF(Eingabe!$X$67="Querlüftung",2*Eingabe!$Y$69/(Eingabe!$Y$101+Eingabe!$Y$84)*$N$27,IF(Eingabe!$X$67="Schachtlüftung",Eingabe!$Y$69/Eingabe!$Y$84*$N$27,"Fehler"))))</f>
        <v>-</v>
      </c>
      <c r="J80" s="73"/>
      <c r="K80" s="93" t="str">
        <f>IF(K79="o","-",IF(Eingabe!$X$67="Schachtlüftung",Eingabe!$Y$69/Eingabe!$Y$84*$N$29,"-"))</f>
        <v>-</v>
      </c>
      <c r="L80" s="499" t="s">
        <v>37</v>
      </c>
      <c r="M80" s="500"/>
      <c r="N80" s="93" t="s">
        <v>37</v>
      </c>
      <c r="O80" s="93" t="str">
        <f>IF(O79="o","-",IF(Eingabe!$X$67="Schachtlüftung",Eingabe!$Y$69/Eingabe!$Y$84*$N$29,"-"))</f>
        <v>-</v>
      </c>
      <c r="P80" s="73"/>
      <c r="Q80" s="104"/>
      <c r="R80" s="501"/>
      <c r="S80" s="502"/>
    </row>
    <row r="81" spans="1:19" s="5" customFormat="1" ht="15" customHeight="1" x14ac:dyDescent="0.2">
      <c r="A81" s="97" t="s">
        <v>387</v>
      </c>
      <c r="B81" s="492" t="str">
        <f>IF(OR(Eingabe!$L$108="Ausgabe freie Lüftung",AND(Eingabe!L108="Ausgabe freie Lüftung und Ausgabe vg R-LG",Eingabe!L75="nein")),IF(ISBLANK(Eingabe!$N75),"",Eingabe!$I75),"")</f>
        <v/>
      </c>
      <c r="C81" s="493"/>
      <c r="D81" s="493"/>
      <c r="E81" s="494"/>
      <c r="F81" s="99"/>
      <c r="G81" s="102" t="str">
        <f>IF($B81="",CHAR(111),IF(Eingabe!$X$67="Schachtlüftung",CHAR(111),CHAR(254)))</f>
        <v>o</v>
      </c>
      <c r="H81" s="4"/>
      <c r="I81" s="102" t="str">
        <f>IF($B81="",CHAR(111),CHAR(254))</f>
        <v>o</v>
      </c>
      <c r="J81" s="4"/>
      <c r="K81" s="102" t="str">
        <f>IF($B81="",CHAR(111),IF(Eingabe!$X$67="Schachtlüftung",CHAR(254),CHAR(111)))</f>
        <v>o</v>
      </c>
      <c r="L81" s="495" t="str">
        <f>CHAR(111)</f>
        <v>o</v>
      </c>
      <c r="M81" s="496"/>
      <c r="N81" s="102" t="str">
        <f>CHAR(111)</f>
        <v>o</v>
      </c>
      <c r="O81" s="102" t="str">
        <f>IF($B81="",CHAR(111),IF(Eingabe!$X$67="Schachtlüftung",CHAR(254),CHAR(111)))</f>
        <v>o</v>
      </c>
      <c r="P81" s="4"/>
      <c r="Q81" s="103"/>
      <c r="R81" s="497"/>
      <c r="S81" s="498"/>
    </row>
    <row r="82" spans="1:19" s="5" customFormat="1" ht="15" customHeight="1" x14ac:dyDescent="0.2">
      <c r="A82" s="212" t="s">
        <v>386</v>
      </c>
      <c r="B82" s="28" t="str">
        <f>IF(B81="","",IF(ISBLANK(Eingabe!$N75),"",Eingabe!$Q75))</f>
        <v/>
      </c>
      <c r="C82" s="28" t="s">
        <v>25</v>
      </c>
      <c r="D82" s="100" t="s">
        <v>345</v>
      </c>
      <c r="E82" s="213" t="s">
        <v>389</v>
      </c>
      <c r="F82" s="92"/>
      <c r="G82" s="93" t="str">
        <f>IF(G81="o","-",IF(Eingabe!$X$67="Querlüftung (FS)",2*Eingabe!$Y$70/(Eingabe!$Y$101+Eingabe!$Y$84)*$N$19,IF(Eingabe!$X$67="Querlüftung",2*Eingabe!$Y$70/(Eingabe!$Y$101+Eingabe!$Y$84)*$N$25,"-")))</f>
        <v>-</v>
      </c>
      <c r="H82" s="92"/>
      <c r="I82" s="93" t="str">
        <f>IF(I81="o","-",IF(Eingabe!$X$67="Querlüftung (FS)",2*Eingabe!$Y$70/(Eingabe!$Y$101+Eingabe!$Y$84)*$N$21,IF(Eingabe!$X$67="Querlüftung",2*Eingabe!$Y$70/(Eingabe!$Y$101+Eingabe!$Y$84)*$N$27,IF(Eingabe!$X$67="Schachtlüftung",Eingabe!$Y$70/Eingabe!$Y$84*$N$27,"Fehler"))))</f>
        <v>-</v>
      </c>
      <c r="J82" s="73"/>
      <c r="K82" s="93" t="str">
        <f>IF(K81="o","-",IF(Eingabe!$X$67="Schachtlüftung",Eingabe!$Y$70/Eingabe!$Y$84*$N$29,"-"))</f>
        <v>-</v>
      </c>
      <c r="L82" s="499" t="s">
        <v>37</v>
      </c>
      <c r="M82" s="500"/>
      <c r="N82" s="93" t="s">
        <v>37</v>
      </c>
      <c r="O82" s="93" t="str">
        <f>IF(O81="o","-",IF(Eingabe!$X$67="Schachtlüftung",Eingabe!$Y$70/Eingabe!$Y$84*$N$29,"-"))</f>
        <v>-</v>
      </c>
      <c r="P82" s="73"/>
      <c r="Q82" s="104"/>
      <c r="R82" s="501"/>
      <c r="S82" s="502"/>
    </row>
    <row r="83" spans="1:19" s="5" customFormat="1" ht="15" customHeight="1" x14ac:dyDescent="0.2">
      <c r="A83" s="97" t="s">
        <v>387</v>
      </c>
      <c r="B83" s="492" t="str">
        <f>IF(OR(Eingabe!$L$108="Ausgabe freie Lüftung",AND(Eingabe!L108="Ausgabe freie Lüftung und Ausgabe vg R-LG",Eingabe!L76="nein")),IF(ISBLANK(Eingabe!$N76),"",Eingabe!$I76),"")</f>
        <v/>
      </c>
      <c r="C83" s="493"/>
      <c r="D83" s="493"/>
      <c r="E83" s="494"/>
      <c r="F83" s="99"/>
      <c r="G83" s="102" t="str">
        <f>IF($B83="",CHAR(111),IF(Eingabe!$X$67="Schachtlüftung",CHAR(111),CHAR(254)))</f>
        <v>o</v>
      </c>
      <c r="H83" s="4"/>
      <c r="I83" s="102" t="str">
        <f>IF($B83="",CHAR(111),CHAR(254))</f>
        <v>o</v>
      </c>
      <c r="J83" s="4"/>
      <c r="K83" s="102" t="str">
        <f>IF($B83="",CHAR(111),IF(Eingabe!$X$67="Schachtlüftung",CHAR(254),CHAR(111)))</f>
        <v>o</v>
      </c>
      <c r="L83" s="495" t="str">
        <f>CHAR(111)</f>
        <v>o</v>
      </c>
      <c r="M83" s="496"/>
      <c r="N83" s="102" t="str">
        <f>CHAR(111)</f>
        <v>o</v>
      </c>
      <c r="O83" s="102" t="str">
        <f>IF($B83="",CHAR(111),IF(Eingabe!$X$67="Schachtlüftung",CHAR(254),CHAR(111)))</f>
        <v>o</v>
      </c>
      <c r="P83" s="4"/>
      <c r="Q83" s="103"/>
      <c r="R83" s="503"/>
      <c r="S83" s="504"/>
    </row>
    <row r="84" spans="1:19" s="5" customFormat="1" ht="15" customHeight="1" x14ac:dyDescent="0.2">
      <c r="A84" s="212" t="s">
        <v>386</v>
      </c>
      <c r="B84" s="28" t="str">
        <f>IF(B83="","",IF(ISBLANK(Eingabe!$N76),"",Eingabe!$Q76))</f>
        <v/>
      </c>
      <c r="C84" s="28" t="s">
        <v>25</v>
      </c>
      <c r="D84" s="100" t="s">
        <v>345</v>
      </c>
      <c r="E84" s="213" t="s">
        <v>389</v>
      </c>
      <c r="F84" s="92"/>
      <c r="G84" s="93" t="str">
        <f>IF(G83="o","-",IF(Eingabe!$X$67="Querlüftung (FS)",2*Eingabe!$Y$71/(Eingabe!$Y$101+Eingabe!$Y$84)*$N$19,IF(Eingabe!$X$67="Querlüftung",2*Eingabe!$Y$71/(Eingabe!$Y$101+Eingabe!$Y$84)*$N$25,"-")))</f>
        <v>-</v>
      </c>
      <c r="H84" s="92"/>
      <c r="I84" s="93" t="str">
        <f>IF(I83="o","-",IF(Eingabe!$X$67="Querlüftung (FS)",2*Eingabe!$Y$71/(Eingabe!$Y$101+Eingabe!$Y$84)*$N$21,IF(Eingabe!$X$67="Querlüftung",2*Eingabe!$Y$71/(Eingabe!$Y$101+Eingabe!$Y$84)*$N$27,IF(Eingabe!$X$67="Schachtlüftung",Eingabe!$Y$71/Eingabe!$Y$84*$N$27,"Fehler"))))</f>
        <v>-</v>
      </c>
      <c r="J84" s="73"/>
      <c r="K84" s="93" t="str">
        <f>IF(K83="o","-",IF(Eingabe!$X$67="Schachtlüftung",Eingabe!$Y$71/Eingabe!$Y$84*$N$29,"-"))</f>
        <v>-</v>
      </c>
      <c r="L84" s="499" t="s">
        <v>37</v>
      </c>
      <c r="M84" s="500"/>
      <c r="N84" s="93" t="s">
        <v>37</v>
      </c>
      <c r="O84" s="93" t="str">
        <f>IF(O83="o","-",IF(Eingabe!$X$67="Schachtlüftung",Eingabe!$Y$71/Eingabe!$Y$84*$N$29,"-"))</f>
        <v>-</v>
      </c>
      <c r="P84" s="73"/>
      <c r="Q84" s="104"/>
      <c r="R84" s="509"/>
      <c r="S84" s="510"/>
    </row>
    <row r="85" spans="1:19" s="5" customFormat="1" ht="15" customHeight="1" x14ac:dyDescent="0.2">
      <c r="A85" s="97" t="s">
        <v>387</v>
      </c>
      <c r="B85" s="492" t="str">
        <f>IF(OR(Eingabe!$L$108="Ausgabe freie Lüftung",AND(Eingabe!L108="Ausgabe freie Lüftung und Ausgabe vg R-LG",Eingabe!L77="nein")),IF(ISBLANK(Eingabe!$N77),"",Eingabe!$I77),"")</f>
        <v/>
      </c>
      <c r="C85" s="493"/>
      <c r="D85" s="493"/>
      <c r="E85" s="494"/>
      <c r="F85" s="99"/>
      <c r="G85" s="102" t="str">
        <f>IF($B85="",CHAR(111),IF(Eingabe!$X$67="Schachtlüftung",CHAR(111),CHAR(254)))</f>
        <v>o</v>
      </c>
      <c r="H85" s="4"/>
      <c r="I85" s="102" t="str">
        <f>IF($B85="",CHAR(111),CHAR(254))</f>
        <v>o</v>
      </c>
      <c r="J85" s="4"/>
      <c r="K85" s="102" t="str">
        <f>IF($B85="",CHAR(111),IF(Eingabe!$X$67="Schachtlüftung",CHAR(254),CHAR(111)))</f>
        <v>o</v>
      </c>
      <c r="L85" s="495" t="str">
        <f>CHAR(111)</f>
        <v>o</v>
      </c>
      <c r="M85" s="496"/>
      <c r="N85" s="102" t="str">
        <f>CHAR(111)</f>
        <v>o</v>
      </c>
      <c r="O85" s="102" t="str">
        <f>IF($B85="",CHAR(111),IF(Eingabe!$X$67="Schachtlüftung",CHAR(254),CHAR(111)))</f>
        <v>o</v>
      </c>
      <c r="P85" s="4"/>
      <c r="Q85" s="103"/>
      <c r="R85" s="503"/>
      <c r="S85" s="504"/>
    </row>
    <row r="86" spans="1:19" s="5" customFormat="1" ht="15" customHeight="1" x14ac:dyDescent="0.2">
      <c r="A86" s="212" t="s">
        <v>386</v>
      </c>
      <c r="B86" s="28" t="str">
        <f>IF(B85="","",IF(ISBLANK(Eingabe!$N77),"",Eingabe!$Q77))</f>
        <v/>
      </c>
      <c r="C86" s="28" t="s">
        <v>25</v>
      </c>
      <c r="D86" s="100" t="s">
        <v>345</v>
      </c>
      <c r="E86" s="213" t="s">
        <v>389</v>
      </c>
      <c r="F86" s="92"/>
      <c r="G86" s="93" t="str">
        <f>IF(G85="o","-",IF(Eingabe!$X$67="Querlüftung (FS)",2*Eingabe!$Y$72/(Eingabe!$Y$101+Eingabe!$Y$84)*$N$19,IF(Eingabe!$X$67="Querlüftung",2*Eingabe!$Y$72/(Eingabe!$Y$101+Eingabe!$Y$84)*$N$25,"-")))</f>
        <v>-</v>
      </c>
      <c r="H86" s="92"/>
      <c r="I86" s="93" t="str">
        <f>IF(I85="o","-",IF(Eingabe!$X$67="Querlüftung (FS)",2*Eingabe!$Y$72/(Eingabe!$Y$101+Eingabe!$Y$84)*$N$21,IF(Eingabe!$X$67="Querlüftung",2*Eingabe!$Y$72/(Eingabe!$Y$101+Eingabe!$Y$84)*$N$27,IF(Eingabe!$X$67="Schachtlüftung",Eingabe!$Y$72/Eingabe!$Y$84*$N$27,"Fehler"))))</f>
        <v>-</v>
      </c>
      <c r="J86" s="73"/>
      <c r="K86" s="93" t="str">
        <f>IF(K85="o","-",IF(Eingabe!$X$67="Schachtlüftung",Eingabe!$Y$72/Eingabe!$Y$84*$N$29,"-"))</f>
        <v>-</v>
      </c>
      <c r="L86" s="499" t="s">
        <v>37</v>
      </c>
      <c r="M86" s="500"/>
      <c r="N86" s="93" t="s">
        <v>37</v>
      </c>
      <c r="O86" s="93" t="str">
        <f>IF(O85="o","-",IF(Eingabe!$X$67="Schachtlüftung",Eingabe!$Y$72/Eingabe!$Y$84*$N$29,"-"))</f>
        <v>-</v>
      </c>
      <c r="P86" s="73"/>
      <c r="Q86" s="104"/>
      <c r="R86" s="509"/>
      <c r="S86" s="510"/>
    </row>
    <row r="87" spans="1:19" s="5" customFormat="1" ht="15" customHeight="1" x14ac:dyDescent="0.2">
      <c r="A87" s="97" t="s">
        <v>387</v>
      </c>
      <c r="B87" s="492" t="str">
        <f>IF(OR(Eingabe!$L$108="Ausgabe freie Lüftung",AND(Eingabe!L108="Ausgabe freie Lüftung und Ausgabe vg R-LG",Eingabe!L78="nein")),IF(ISBLANK(Eingabe!$N78),"",Eingabe!$I78),"")</f>
        <v/>
      </c>
      <c r="C87" s="493"/>
      <c r="D87" s="493"/>
      <c r="E87" s="494"/>
      <c r="F87" s="99"/>
      <c r="G87" s="102" t="str">
        <f>IF($B87="",CHAR(111),IF(Eingabe!$X$67="Schachtlüftung",CHAR(111),CHAR(254)))</f>
        <v>o</v>
      </c>
      <c r="H87" s="4"/>
      <c r="I87" s="102" t="str">
        <f>IF($B87="",CHAR(111),CHAR(254))</f>
        <v>o</v>
      </c>
      <c r="J87" s="4"/>
      <c r="K87" s="102" t="str">
        <f>IF($B87="",CHAR(111),IF(Eingabe!$X$67="Schachtlüftung",CHAR(254),CHAR(111)))</f>
        <v>o</v>
      </c>
      <c r="L87" s="495" t="str">
        <f>CHAR(111)</f>
        <v>o</v>
      </c>
      <c r="M87" s="496"/>
      <c r="N87" s="102" t="str">
        <f>CHAR(111)</f>
        <v>o</v>
      </c>
      <c r="O87" s="102" t="str">
        <f>IF($B87="",CHAR(111),IF(Eingabe!$X$67="Schachtlüftung",CHAR(254),CHAR(111)))</f>
        <v>o</v>
      </c>
      <c r="P87" s="4"/>
      <c r="Q87" s="103"/>
      <c r="R87" s="503"/>
      <c r="S87" s="504"/>
    </row>
    <row r="88" spans="1:19" s="5" customFormat="1" ht="15" customHeight="1" x14ac:dyDescent="0.2">
      <c r="A88" s="212" t="s">
        <v>386</v>
      </c>
      <c r="B88" s="28" t="str">
        <f>IF(B87="","",IF(ISBLANK(Eingabe!$N78),"",Eingabe!$Q78))</f>
        <v/>
      </c>
      <c r="C88" s="28" t="s">
        <v>25</v>
      </c>
      <c r="D88" s="100" t="s">
        <v>345</v>
      </c>
      <c r="E88" s="213" t="s">
        <v>389</v>
      </c>
      <c r="F88" s="92"/>
      <c r="G88" s="93" t="str">
        <f>IF(G87="o","-",IF(Eingabe!$X$67="Querlüftung (FS)",2*Eingabe!$Y$73/(Eingabe!$Y$101+Eingabe!$Y$84)*$N$19,IF(Eingabe!$X$67="Querlüftung",2*Eingabe!$Y$73/(Eingabe!$Y$101+Eingabe!$Y$84)*$N$25,"-")))</f>
        <v>-</v>
      </c>
      <c r="H88" s="92"/>
      <c r="I88" s="93" t="str">
        <f>IF(I87="o","-",IF(Eingabe!$X$67="Querlüftung (FS)",2*Eingabe!$Y$73/(Eingabe!$Y$101+Eingabe!$Y$84)*$N$21,IF(Eingabe!$X$67="Querlüftung",2*Eingabe!$Y$73/(Eingabe!$Y$101+Eingabe!$Y$84)*$N$27,IF(Eingabe!$X$67="Schachtlüftung",Eingabe!$Y$73/Eingabe!$Y$84*$N$27,"Fehler"))))</f>
        <v>-</v>
      </c>
      <c r="J88" s="73"/>
      <c r="K88" s="93" t="str">
        <f>IF(K87="o","-",IF(Eingabe!$X$67="Schachtlüftung",Eingabe!$Y$73/Eingabe!$Y$84*$N$29,"-"))</f>
        <v>-</v>
      </c>
      <c r="L88" s="499" t="s">
        <v>37</v>
      </c>
      <c r="M88" s="500"/>
      <c r="N88" s="93" t="s">
        <v>37</v>
      </c>
      <c r="O88" s="93" t="str">
        <f>IF(O87="o","-",IF(Eingabe!$X$67="Schachtlüftung",Eingabe!$Y$73/Eingabe!$Y$84*$N$29,"-"))</f>
        <v>-</v>
      </c>
      <c r="P88" s="73"/>
      <c r="Q88" s="104"/>
      <c r="R88" s="509"/>
      <c r="S88" s="510"/>
    </row>
    <row r="89" spans="1:19" s="5" customFormat="1" ht="15" customHeight="1" x14ac:dyDescent="0.2">
      <c r="A89" s="97" t="s">
        <v>387</v>
      </c>
      <c r="B89" s="492" t="str">
        <f>IF(OR(Eingabe!$L$108="Ausgabe freie Lüftung",AND(Eingabe!L108="Ausgabe freie Lüftung und Ausgabe vg R-LG",Eingabe!L79="nein")),IF(ISBLANK(Eingabe!$N79),"",Eingabe!$I79),"")</f>
        <v/>
      </c>
      <c r="C89" s="493"/>
      <c r="D89" s="493"/>
      <c r="E89" s="494"/>
      <c r="F89" s="99"/>
      <c r="G89" s="102" t="str">
        <f>IF($B89="",CHAR(111),IF(Eingabe!$X$67="Schachtlüftung",CHAR(111),CHAR(254)))</f>
        <v>o</v>
      </c>
      <c r="H89" s="4"/>
      <c r="I89" s="102" t="str">
        <f>IF($B89="",CHAR(111),CHAR(254))</f>
        <v>o</v>
      </c>
      <c r="J89" s="4"/>
      <c r="K89" s="102" t="str">
        <f>IF($B89="",CHAR(111),IF(Eingabe!$X$67="Schachtlüftung",CHAR(254),CHAR(111)))</f>
        <v>o</v>
      </c>
      <c r="L89" s="495" t="str">
        <f>CHAR(111)</f>
        <v>o</v>
      </c>
      <c r="M89" s="496"/>
      <c r="N89" s="102" t="str">
        <f>CHAR(111)</f>
        <v>o</v>
      </c>
      <c r="O89" s="102" t="str">
        <f>IF($B89="",CHAR(111),IF(Eingabe!$X$67="Schachtlüftung",CHAR(254),CHAR(111)))</f>
        <v>o</v>
      </c>
      <c r="P89" s="4"/>
      <c r="Q89" s="103"/>
      <c r="R89" s="503"/>
      <c r="S89" s="504"/>
    </row>
    <row r="90" spans="1:19" s="5" customFormat="1" ht="15" customHeight="1" x14ac:dyDescent="0.2">
      <c r="A90" s="212" t="s">
        <v>386</v>
      </c>
      <c r="B90" s="28" t="str">
        <f>IF(B89="","",IF(ISBLANK(Eingabe!$N79),"",Eingabe!$Q79))</f>
        <v/>
      </c>
      <c r="C90" s="28" t="s">
        <v>25</v>
      </c>
      <c r="D90" s="100" t="s">
        <v>345</v>
      </c>
      <c r="E90" s="213" t="s">
        <v>389</v>
      </c>
      <c r="F90" s="92"/>
      <c r="G90" s="93" t="str">
        <f>IF(G89="o","-",IF(Eingabe!$X$67="Querlüftung (FS)",2*Eingabe!$Y$74/(Eingabe!$Y$101+Eingabe!$Y$84)*$N$19,IF(Eingabe!$X$67="Querlüftung",2*Eingabe!$Y$74/(Eingabe!$Y$101+Eingabe!$Y$84)*$N$25,"-")))</f>
        <v>-</v>
      </c>
      <c r="H90" s="92"/>
      <c r="I90" s="93" t="str">
        <f>IF(I89="o","-",IF(Eingabe!$X$67="Querlüftung (FS)",2*Eingabe!$Y$74/(Eingabe!$Y$101+Eingabe!$Y$84)*$N$21,IF(Eingabe!$X$67="Querlüftung",2*Eingabe!$Y$74/(Eingabe!$Y$101+Eingabe!$Y$84)*$N$27,IF(Eingabe!$X$67="Schachtlüftung",Eingabe!$Y$74/Eingabe!$Y$84*$N$27,"Fehler"))))</f>
        <v>-</v>
      </c>
      <c r="J90" s="73"/>
      <c r="K90" s="93" t="str">
        <f>IF(K89="o","-",IF(Eingabe!$X$67="Schachtlüftung",Eingabe!$Y$74/Eingabe!$Y$84*$N$29,"-"))</f>
        <v>-</v>
      </c>
      <c r="L90" s="499" t="s">
        <v>37</v>
      </c>
      <c r="M90" s="500"/>
      <c r="N90" s="93" t="s">
        <v>37</v>
      </c>
      <c r="O90" s="93" t="str">
        <f>IF(O89="o","-",IF(Eingabe!$X$67="Schachtlüftung",Eingabe!$Y$74/Eingabe!$Y$84*$N$29,"-"))</f>
        <v>-</v>
      </c>
      <c r="P90" s="73"/>
      <c r="Q90" s="104"/>
      <c r="R90" s="509"/>
      <c r="S90" s="510"/>
    </row>
    <row r="91" spans="1:19" s="5" customFormat="1" ht="15" customHeight="1" x14ac:dyDescent="0.2">
      <c r="A91" s="97" t="s">
        <v>387</v>
      </c>
      <c r="B91" s="492" t="str">
        <f>IF(OR(Eingabe!$L$108="Ausgabe freie Lüftung",AND(Eingabe!L108="Ausgabe freie Lüftung und Ausgabe vg R-LG",Eingabe!L80="nein")),IF(ISBLANK(Eingabe!$N80),"",Eingabe!$I80),"")</f>
        <v/>
      </c>
      <c r="C91" s="493"/>
      <c r="D91" s="493"/>
      <c r="E91" s="494"/>
      <c r="F91" s="99"/>
      <c r="G91" s="102" t="str">
        <f>IF($B91="",CHAR(111),IF(Eingabe!$X$67="Schachtlüftung",CHAR(111),CHAR(254)))</f>
        <v>o</v>
      </c>
      <c r="H91" s="4"/>
      <c r="I91" s="102" t="str">
        <f>IF($B91="",CHAR(111),CHAR(254))</f>
        <v>o</v>
      </c>
      <c r="J91" s="4"/>
      <c r="K91" s="102" t="str">
        <f>IF($B91="",CHAR(111),IF(Eingabe!$X$67="Schachtlüftung",CHAR(254),CHAR(111)))</f>
        <v>o</v>
      </c>
      <c r="L91" s="495" t="str">
        <f>CHAR(111)</f>
        <v>o</v>
      </c>
      <c r="M91" s="496"/>
      <c r="N91" s="102" t="str">
        <f>CHAR(111)</f>
        <v>o</v>
      </c>
      <c r="O91" s="102" t="str">
        <f>IF($B91="",CHAR(111),IF(Eingabe!$X$67="Schachtlüftung",CHAR(254),CHAR(111)))</f>
        <v>o</v>
      </c>
      <c r="P91" s="4"/>
      <c r="Q91" s="103"/>
      <c r="R91" s="503"/>
      <c r="S91" s="504"/>
    </row>
    <row r="92" spans="1:19" s="5" customFormat="1" ht="15" customHeight="1" x14ac:dyDescent="0.2">
      <c r="A92" s="212" t="s">
        <v>386</v>
      </c>
      <c r="B92" s="28" t="str">
        <f>IF(B91="","",IF(ISBLANK(Eingabe!$N80),"",Eingabe!$Q80))</f>
        <v/>
      </c>
      <c r="C92" s="28" t="s">
        <v>25</v>
      </c>
      <c r="D92" s="100" t="s">
        <v>345</v>
      </c>
      <c r="E92" s="213" t="s">
        <v>389</v>
      </c>
      <c r="F92" s="92"/>
      <c r="G92" s="93" t="str">
        <f>IF(G91="o","-",IF(Eingabe!$X$67="Querlüftung (FS)",2*Eingabe!$Y$75/(Eingabe!$Y$101+Eingabe!$Y$84)*$N$19,IF(Eingabe!$X$67="Querlüftung",2*Eingabe!$Y$75/(Eingabe!$Y$101+Eingabe!$Y$84)*$N$25,"-")))</f>
        <v>-</v>
      </c>
      <c r="H92" s="92"/>
      <c r="I92" s="93" t="str">
        <f>IF(I91="o","-",IF(Eingabe!$X$67="Querlüftung (FS)",2*Eingabe!$Y$75/(Eingabe!$Y$101+Eingabe!$Y$84)*$N$21,IF(Eingabe!$X$67="Querlüftung",2*Eingabe!$Y$75/(Eingabe!$Y$101+Eingabe!$Y$84)*$N$27,IF(Eingabe!$X$67="Schachtlüftung",Eingabe!$Y$75/Eingabe!$Y$84*$N$27,"Fehler"))))</f>
        <v>-</v>
      </c>
      <c r="J92" s="73"/>
      <c r="K92" s="93" t="str">
        <f>IF(K91="o","-",IF(Eingabe!$X$67="Schachtlüftung",Eingabe!$Y$75/Eingabe!$Y$84*$N$29,"-"))</f>
        <v>-</v>
      </c>
      <c r="L92" s="499" t="s">
        <v>37</v>
      </c>
      <c r="M92" s="500"/>
      <c r="N92" s="93" t="s">
        <v>37</v>
      </c>
      <c r="O92" s="93" t="str">
        <f>IF(O91="o","-",IF(Eingabe!$X$67="Schachtlüftung",Eingabe!$Y$75/Eingabe!$Y$84*$N$29,"-"))</f>
        <v>-</v>
      </c>
      <c r="P92" s="73"/>
      <c r="Q92" s="104"/>
      <c r="R92" s="509"/>
      <c r="S92" s="510"/>
    </row>
    <row r="93" spans="1:19" s="5" customFormat="1" ht="15" customHeight="1" x14ac:dyDescent="0.2">
      <c r="A93" s="97" t="s">
        <v>387</v>
      </c>
      <c r="B93" s="492" t="str">
        <f>IF(OR(Eingabe!$L$108="Ausgabe freie Lüftung",AND(Eingabe!L108="Ausgabe freie Lüftung und Ausgabe vg R-LG",Eingabe!L81="nein")),IF(ISBLANK(Eingabe!$N81),"",Eingabe!$I81),"")</f>
        <v/>
      </c>
      <c r="C93" s="493"/>
      <c r="D93" s="493"/>
      <c r="E93" s="494"/>
      <c r="F93" s="99"/>
      <c r="G93" s="102" t="str">
        <f>IF($B93="",CHAR(111),IF(Eingabe!$X$67="Schachtlüftung",CHAR(111),CHAR(254)))</f>
        <v>o</v>
      </c>
      <c r="H93" s="4"/>
      <c r="I93" s="102" t="str">
        <f>IF($B93="",CHAR(111),CHAR(254))</f>
        <v>o</v>
      </c>
      <c r="J93" s="4"/>
      <c r="K93" s="102" t="str">
        <f>IF($B93="",CHAR(111),IF(Eingabe!$X$67="Schachtlüftung",CHAR(254),CHAR(111)))</f>
        <v>o</v>
      </c>
      <c r="L93" s="495" t="str">
        <f>CHAR(111)</f>
        <v>o</v>
      </c>
      <c r="M93" s="496"/>
      <c r="N93" s="102" t="str">
        <f>CHAR(111)</f>
        <v>o</v>
      </c>
      <c r="O93" s="102" t="str">
        <f>IF($B93="",CHAR(111),IF(Eingabe!$X$67="Schachtlüftung",CHAR(254),CHAR(111)))</f>
        <v>o</v>
      </c>
      <c r="P93" s="4"/>
      <c r="Q93" s="103"/>
      <c r="R93" s="503"/>
      <c r="S93" s="504"/>
    </row>
    <row r="94" spans="1:19" s="5" customFormat="1" ht="15" customHeight="1" x14ac:dyDescent="0.2">
      <c r="A94" s="212" t="s">
        <v>386</v>
      </c>
      <c r="B94" s="28" t="str">
        <f>IF(B93="","",IF(ISBLANK(Eingabe!$N81),"",Eingabe!$Q81))</f>
        <v/>
      </c>
      <c r="C94" s="28" t="s">
        <v>25</v>
      </c>
      <c r="D94" s="100" t="s">
        <v>345</v>
      </c>
      <c r="E94" s="213" t="s">
        <v>389</v>
      </c>
      <c r="F94" s="92"/>
      <c r="G94" s="93" t="str">
        <f>IF(G93="o","-",IF(Eingabe!$X$67="Querlüftung (FS)",2*Eingabe!$Y$76/(Eingabe!$Y$101+Eingabe!$Y$84)*$N$19,IF(Eingabe!$X$67="Querlüftung",2*Eingabe!$Y$76/(Eingabe!$Y$101+Eingabe!$Y$84)*$N$25,"-")))</f>
        <v>-</v>
      </c>
      <c r="H94" s="92"/>
      <c r="I94" s="93" t="str">
        <f>IF(I93="o","-",IF(Eingabe!$X$67="Querlüftung (FS)",2*Eingabe!$Y$76/(Eingabe!$Y$101+Eingabe!$Y$84)*$N$21,IF(Eingabe!$X$67="Querlüftung",2*Eingabe!$Y$76/(Eingabe!$Y$101+Eingabe!$Y$84)*$N$27,IF(Eingabe!$X$67="Schachtlüftung",Eingabe!$Y$76/Eingabe!$Y$84*$N$27,"Fehler"))))</f>
        <v>-</v>
      </c>
      <c r="J94" s="73"/>
      <c r="K94" s="93" t="str">
        <f>IF(K93="o","-",IF(Eingabe!$X$67="Schachtlüftung",Eingabe!$Y$76/Eingabe!$Y$84*$N$29,"-"))</f>
        <v>-</v>
      </c>
      <c r="L94" s="499" t="s">
        <v>37</v>
      </c>
      <c r="M94" s="500"/>
      <c r="N94" s="93" t="s">
        <v>37</v>
      </c>
      <c r="O94" s="93" t="str">
        <f>IF(O93="o","-",IF(Eingabe!$X$67="Schachtlüftung",Eingabe!$Y$76/Eingabe!$Y$84*$N$29,"-"))</f>
        <v>-</v>
      </c>
      <c r="P94" s="73"/>
      <c r="Q94" s="104"/>
      <c r="R94" s="509"/>
      <c r="S94" s="510"/>
    </row>
    <row r="95" spans="1:19" s="5" customFormat="1" ht="15" customHeight="1" x14ac:dyDescent="0.2">
      <c r="A95" s="97" t="s">
        <v>387</v>
      </c>
      <c r="B95" s="492" t="str">
        <f>IF(OR(Eingabe!$L$108="Ausgabe freie Lüftung",AND(Eingabe!L108="Ausgabe freie Lüftung und Ausgabe vg R-LG",Eingabe!L82="nein")),IF(ISBLANK(Eingabe!$N82),"",Eingabe!$I82),"")</f>
        <v/>
      </c>
      <c r="C95" s="493"/>
      <c r="D95" s="493"/>
      <c r="E95" s="494"/>
      <c r="F95" s="99"/>
      <c r="G95" s="102" t="str">
        <f>IF($B95="",CHAR(111),IF(Eingabe!$X$67="Schachtlüftung",CHAR(111),CHAR(254)))</f>
        <v>o</v>
      </c>
      <c r="H95" s="4"/>
      <c r="I95" s="102" t="str">
        <f>IF($B95="",CHAR(111),CHAR(254))</f>
        <v>o</v>
      </c>
      <c r="J95" s="4"/>
      <c r="K95" s="102" t="str">
        <f>IF($B95="",CHAR(111),IF(Eingabe!$X$67="Schachtlüftung",CHAR(254),CHAR(111)))</f>
        <v>o</v>
      </c>
      <c r="L95" s="495" t="str">
        <f>CHAR(111)</f>
        <v>o</v>
      </c>
      <c r="M95" s="496"/>
      <c r="N95" s="102" t="str">
        <f>CHAR(111)</f>
        <v>o</v>
      </c>
      <c r="O95" s="102" t="str">
        <f>IF($B95="",CHAR(111),IF(Eingabe!$X$67="Schachtlüftung",CHAR(254),CHAR(111)))</f>
        <v>o</v>
      </c>
      <c r="P95" s="4"/>
      <c r="Q95" s="103"/>
      <c r="R95" s="503"/>
      <c r="S95" s="504"/>
    </row>
    <row r="96" spans="1:19" s="5" customFormat="1" ht="15" customHeight="1" x14ac:dyDescent="0.2">
      <c r="A96" s="212" t="s">
        <v>386</v>
      </c>
      <c r="B96" s="28" t="str">
        <f>IF(B95="","",IF(ISBLANK(Eingabe!$N82),"",Eingabe!$Q82))</f>
        <v/>
      </c>
      <c r="C96" s="28" t="s">
        <v>25</v>
      </c>
      <c r="D96" s="100" t="s">
        <v>345</v>
      </c>
      <c r="E96" s="213" t="s">
        <v>389</v>
      </c>
      <c r="F96" s="92"/>
      <c r="G96" s="93" t="str">
        <f>IF(G95="o","-",IF(Eingabe!$X$67="Querlüftung (FS)",2*Eingabe!$Y$77/(Eingabe!$Y$101+Eingabe!$Y$84)*$N$19,IF(Eingabe!$X$67="Querlüftung",2*Eingabe!$Y$77/(Eingabe!$Y$101+Eingabe!$Y$84)*$N$25,"-")))</f>
        <v>-</v>
      </c>
      <c r="H96" s="92"/>
      <c r="I96" s="93" t="str">
        <f>IF(I95="o","-",IF(Eingabe!$X$67="Querlüftung (FS)",2*Eingabe!$Y$77/(Eingabe!$Y$101+Eingabe!$Y$84)*$N$21,IF(Eingabe!$X$67="Querlüftung",2*Eingabe!$Y$77/(Eingabe!$Y$101+Eingabe!$Y$84)*$N$27,IF(Eingabe!$X$67="Schachtlüftung",Eingabe!$Y$77/Eingabe!$Y$84*$N$27,"Fehler"))))</f>
        <v>-</v>
      </c>
      <c r="J96" s="73"/>
      <c r="K96" s="93" t="str">
        <f>IF(K95="o","-",IF(Eingabe!$X$67="Schachtlüftung",Eingabe!$Y$77/Eingabe!$Y$84*$N$29,"-"))</f>
        <v>-</v>
      </c>
      <c r="L96" s="499" t="s">
        <v>37</v>
      </c>
      <c r="M96" s="500"/>
      <c r="N96" s="93" t="s">
        <v>37</v>
      </c>
      <c r="O96" s="93" t="str">
        <f>IF(O95="o","-",IF(Eingabe!$X$67="Schachtlüftung",Eingabe!$Y$77/Eingabe!$Y$84*$N$29,"-"))</f>
        <v>-</v>
      </c>
      <c r="P96" s="73"/>
      <c r="Q96" s="104"/>
      <c r="R96" s="509"/>
      <c r="S96" s="510"/>
    </row>
    <row r="97" spans="1:19" s="5" customFormat="1" ht="15" customHeight="1" x14ac:dyDescent="0.2">
      <c r="A97" s="97" t="s">
        <v>387</v>
      </c>
      <c r="B97" s="492" t="str">
        <f>IF(OR(Eingabe!$L$108="Ausgabe freie Lüftung",AND(Eingabe!L108="Ausgabe freie Lüftung und Ausgabe vg R-LG",Eingabe!L83="nein")),IF(ISBLANK(Eingabe!$N83),"",Eingabe!$I83),"")</f>
        <v/>
      </c>
      <c r="C97" s="493"/>
      <c r="D97" s="493"/>
      <c r="E97" s="494"/>
      <c r="F97" s="99"/>
      <c r="G97" s="102" t="str">
        <f>IF($B97="",CHAR(111),IF(Eingabe!$X$67="Schachtlüftung",CHAR(111),CHAR(254)))</f>
        <v>o</v>
      </c>
      <c r="H97" s="4"/>
      <c r="I97" s="102" t="str">
        <f>IF($B97="",CHAR(111),CHAR(254))</f>
        <v>o</v>
      </c>
      <c r="J97" s="4"/>
      <c r="K97" s="102" t="str">
        <f>IF($B97="",CHAR(111),IF(Eingabe!$X$67="Schachtlüftung",CHAR(254),CHAR(111)))</f>
        <v>o</v>
      </c>
      <c r="L97" s="495" t="str">
        <f>CHAR(111)</f>
        <v>o</v>
      </c>
      <c r="M97" s="496"/>
      <c r="N97" s="102" t="str">
        <f>CHAR(111)</f>
        <v>o</v>
      </c>
      <c r="O97" s="102" t="str">
        <f>IF($B97="",CHAR(111),IF(Eingabe!$X$67="Schachtlüftung",CHAR(254),CHAR(111)))</f>
        <v>o</v>
      </c>
      <c r="P97" s="4"/>
      <c r="Q97" s="103"/>
      <c r="R97" s="503"/>
      <c r="S97" s="504"/>
    </row>
    <row r="98" spans="1:19" s="5" customFormat="1" ht="15" customHeight="1" x14ac:dyDescent="0.2">
      <c r="A98" s="212" t="s">
        <v>386</v>
      </c>
      <c r="B98" s="28" t="str">
        <f>IF(B97="","",IF(ISBLANK(Eingabe!$N83),"",Eingabe!$Q83))</f>
        <v/>
      </c>
      <c r="C98" s="28" t="s">
        <v>25</v>
      </c>
      <c r="D98" s="100" t="s">
        <v>345</v>
      </c>
      <c r="E98" s="213" t="s">
        <v>389</v>
      </c>
      <c r="F98" s="92"/>
      <c r="G98" s="93" t="str">
        <f>IF(G97="o","-",IF(Eingabe!$X$67="Querlüftung (FS)",2*Eingabe!$Y$78/(Eingabe!$Y$101+Eingabe!$Y$84)*$N$19,IF(Eingabe!$X$67="Querlüftung",2*Eingabe!$Y$78/(Eingabe!$Y$101+Eingabe!$Y$84)*$N$25,"-")))</f>
        <v>-</v>
      </c>
      <c r="H98" s="92"/>
      <c r="I98" s="93" t="str">
        <f>IF(I97="o","-",IF(Eingabe!$X$67="Querlüftung (FS)",2*Eingabe!$Y$78/(Eingabe!$Y$101+Eingabe!$Y$84)*$N$21,IF(Eingabe!$X$67="Querlüftung",2*Eingabe!$Y$78/(Eingabe!$Y$101+Eingabe!$Y$84)*$N$27,IF(Eingabe!$X$67="Schachtlüftung",Eingabe!$Y$78/Eingabe!$Y$84*$N$27,"Fehler"))))</f>
        <v>-</v>
      </c>
      <c r="J98" s="73"/>
      <c r="K98" s="93" t="str">
        <f>IF(K97="o","-",IF(Eingabe!$X$67="Schachtlüftung",Eingabe!$Y$78/Eingabe!$Y$84*$N$29,"-"))</f>
        <v>-</v>
      </c>
      <c r="L98" s="499" t="s">
        <v>37</v>
      </c>
      <c r="M98" s="500"/>
      <c r="N98" s="93" t="s">
        <v>37</v>
      </c>
      <c r="O98" s="93" t="str">
        <f>IF(O97="o","-",IF(Eingabe!$X$67="Schachtlüftung",Eingabe!$Y$78/Eingabe!$Y$84*$N$29,"-"))</f>
        <v>-</v>
      </c>
      <c r="P98" s="73"/>
      <c r="Q98" s="104"/>
      <c r="R98" s="509"/>
      <c r="S98" s="510"/>
    </row>
    <row r="99" spans="1:19" s="5" customFormat="1" ht="15" customHeight="1" x14ac:dyDescent="0.2">
      <c r="A99" s="97" t="s">
        <v>387</v>
      </c>
      <c r="B99" s="492" t="str">
        <f>IF(OR(Eingabe!$L$108="Ausgabe freie Lüftung",AND(Eingabe!L108="Ausgabe freie Lüftung und Ausgabe vg R-LG",Eingabe!L84="nein")),IF(ISBLANK(Eingabe!$N84),"",Eingabe!$I84),"")</f>
        <v/>
      </c>
      <c r="C99" s="493"/>
      <c r="D99" s="493"/>
      <c r="E99" s="494"/>
      <c r="F99" s="99"/>
      <c r="G99" s="102" t="str">
        <f>IF($B99="",CHAR(111),IF(Eingabe!$X$67="Schachtlüftung",CHAR(111),CHAR(254)))</f>
        <v>o</v>
      </c>
      <c r="H99" s="4"/>
      <c r="I99" s="102" t="str">
        <f>IF($B99="",CHAR(111),CHAR(254))</f>
        <v>o</v>
      </c>
      <c r="J99" s="4"/>
      <c r="K99" s="102" t="str">
        <f>IF($B99="",CHAR(111),IF(Eingabe!$X$67="Schachtlüftung",CHAR(254),CHAR(111)))</f>
        <v>o</v>
      </c>
      <c r="L99" s="495" t="str">
        <f>CHAR(111)</f>
        <v>o</v>
      </c>
      <c r="M99" s="496"/>
      <c r="N99" s="102" t="str">
        <f>CHAR(111)</f>
        <v>o</v>
      </c>
      <c r="O99" s="102" t="str">
        <f>IF($B99="",CHAR(111),IF(Eingabe!$X$67="Schachtlüftung",CHAR(254),CHAR(111)))</f>
        <v>o</v>
      </c>
      <c r="P99" s="4"/>
      <c r="Q99" s="103"/>
      <c r="R99" s="503"/>
      <c r="S99" s="504"/>
    </row>
    <row r="100" spans="1:19" s="5" customFormat="1" ht="15" customHeight="1" x14ac:dyDescent="0.2">
      <c r="A100" s="212" t="s">
        <v>386</v>
      </c>
      <c r="B100" s="28" t="str">
        <f>IF(B99="","",IF(ISBLANK(Eingabe!$N84),"",Eingabe!$Q84))</f>
        <v/>
      </c>
      <c r="C100" s="28" t="s">
        <v>25</v>
      </c>
      <c r="D100" s="100" t="s">
        <v>345</v>
      </c>
      <c r="E100" s="213" t="s">
        <v>389</v>
      </c>
      <c r="F100" s="92"/>
      <c r="G100" s="93" t="str">
        <f>IF(G99="o","-",IF(Eingabe!$X$67="Querlüftung (FS)",2*Eingabe!$Y$79/(Eingabe!$Y$101+Eingabe!$Y$84)*$N$19,IF(Eingabe!$X$67="Querlüftung",2*Eingabe!$Y$79/(Eingabe!$Y$101+Eingabe!$Y$84)*$N$25,"-")))</f>
        <v>-</v>
      </c>
      <c r="H100" s="92"/>
      <c r="I100" s="93" t="str">
        <f>IF(I99="o","-",IF(Eingabe!$X$67="Querlüftung (FS)",2*Eingabe!$Y$79/(Eingabe!$Y$101+Eingabe!$Y$84)*$N$21,IF(Eingabe!$X$67="Querlüftung",2*Eingabe!$Y$79/(Eingabe!$Y$101+Eingabe!$Y$84)*$N$27,IF(Eingabe!$X$67="Schachtlüftung",Eingabe!$Y$79/Eingabe!$Y$84*$N$27,"Fehler"))))</f>
        <v>-</v>
      </c>
      <c r="J100" s="73"/>
      <c r="K100" s="93" t="str">
        <f>IF(K99="o","-",IF(Eingabe!$X$67="Schachtlüftung",Eingabe!$Y$79/Eingabe!$Y$84*$N$29,"-"))</f>
        <v>-</v>
      </c>
      <c r="L100" s="499" t="s">
        <v>37</v>
      </c>
      <c r="M100" s="500"/>
      <c r="N100" s="93" t="s">
        <v>37</v>
      </c>
      <c r="O100" s="93" t="str">
        <f>IF(O99="o","-",IF(Eingabe!$X$67="Schachtlüftung",Eingabe!$Y$79/Eingabe!$Y$84*$N$29,"-"))</f>
        <v>-</v>
      </c>
      <c r="P100" s="73"/>
      <c r="Q100" s="104"/>
      <c r="R100" s="509"/>
      <c r="S100" s="510"/>
    </row>
    <row r="101" spans="1:19" s="5" customFormat="1" ht="15" customHeight="1" x14ac:dyDescent="0.2">
      <c r="A101" s="97" t="s">
        <v>387</v>
      </c>
      <c r="B101" s="492" t="str">
        <f>IF(OR(Eingabe!$L$108="Ausgabe freie Lüftung",AND(Eingabe!L108="Ausgabe freie Lüftung und Ausgabe vg R-LG",Eingabe!L85="nein")),IF(ISBLANK(Eingabe!$N85),"",Eingabe!$I85),"")</f>
        <v/>
      </c>
      <c r="C101" s="493"/>
      <c r="D101" s="493"/>
      <c r="E101" s="494"/>
      <c r="F101" s="99"/>
      <c r="G101" s="102" t="str">
        <f>IF($B101="",CHAR(111),IF(Eingabe!$X$67="Schachtlüftung",CHAR(111),CHAR(254)))</f>
        <v>o</v>
      </c>
      <c r="H101" s="4"/>
      <c r="I101" s="102" t="str">
        <f>IF($B101="",CHAR(111),CHAR(254))</f>
        <v>o</v>
      </c>
      <c r="J101" s="4"/>
      <c r="K101" s="102" t="str">
        <f>IF($B101="",CHAR(111),IF(Eingabe!$X$67="Schachtlüftung",CHAR(254),CHAR(111)))</f>
        <v>o</v>
      </c>
      <c r="L101" s="495" t="str">
        <f>CHAR(111)</f>
        <v>o</v>
      </c>
      <c r="M101" s="496"/>
      <c r="N101" s="102" t="str">
        <f>CHAR(111)</f>
        <v>o</v>
      </c>
      <c r="O101" s="102" t="str">
        <f>IF($B101="",CHAR(111),IF(Eingabe!$X$67="Schachtlüftung",CHAR(254),CHAR(111)))</f>
        <v>o</v>
      </c>
      <c r="P101" s="4"/>
      <c r="Q101" s="103"/>
      <c r="R101" s="503"/>
      <c r="S101" s="504"/>
    </row>
    <row r="102" spans="1:19" s="5" customFormat="1" ht="15" customHeight="1" x14ac:dyDescent="0.2">
      <c r="A102" s="212" t="s">
        <v>386</v>
      </c>
      <c r="B102" s="28" t="str">
        <f>IF(B101="","",IF(ISBLANK(Eingabe!$N85),"",Eingabe!$Q85))</f>
        <v/>
      </c>
      <c r="C102" s="28" t="s">
        <v>25</v>
      </c>
      <c r="D102" s="100" t="s">
        <v>345</v>
      </c>
      <c r="E102" s="213" t="s">
        <v>389</v>
      </c>
      <c r="F102" s="92"/>
      <c r="G102" s="93" t="str">
        <f>IF(G101="o","-",IF(Eingabe!$X$67="Querlüftung (FS)",2*Eingabe!$Y$80/(Eingabe!$Y$101+Eingabe!$Y$84)*$N$19,IF(Eingabe!$X$67="Querlüftung",2*Eingabe!$Y$80/(Eingabe!$Y$101+Eingabe!$Y$84)*$N$25,"-")))</f>
        <v>-</v>
      </c>
      <c r="H102" s="92"/>
      <c r="I102" s="93" t="str">
        <f>IF(I101="o","-",IF(Eingabe!$X$67="Querlüftung (FS)",2*Eingabe!$Y$80/(Eingabe!$Y$101+Eingabe!$Y$84)*$N$21,IF(Eingabe!$X$67="Querlüftung",2*Eingabe!$Y$80/(Eingabe!$Y$101+Eingabe!$Y$84)*$N$27,IF(Eingabe!$X$67="Schachtlüftung",Eingabe!$Y$80/Eingabe!$Y$84*$N$27,"Fehler"))))</f>
        <v>-</v>
      </c>
      <c r="J102" s="73"/>
      <c r="K102" s="93" t="str">
        <f>IF(K101="o","-",IF(Eingabe!$X$67="Schachtlüftung",Eingabe!$Y$80/Eingabe!$Y$84*$N$29,"-"))</f>
        <v>-</v>
      </c>
      <c r="L102" s="499" t="s">
        <v>37</v>
      </c>
      <c r="M102" s="500"/>
      <c r="N102" s="93" t="s">
        <v>37</v>
      </c>
      <c r="O102" s="93" t="str">
        <f>IF(O101="o","-",IF(Eingabe!$X$67="Schachtlüftung",Eingabe!$Y$80/Eingabe!$Y$84*$N$29,"-"))</f>
        <v>-</v>
      </c>
      <c r="P102" s="73"/>
      <c r="Q102" s="104"/>
      <c r="R102" s="509"/>
      <c r="S102" s="510"/>
    </row>
    <row r="103" spans="1:19" s="5" customFormat="1" ht="15" customHeight="1" x14ac:dyDescent="0.2">
      <c r="A103" s="97" t="s">
        <v>387</v>
      </c>
      <c r="B103" s="492" t="str">
        <f>IF(OR(Eingabe!$L$108="Ausgabe freie Lüftung",AND(Eingabe!L108="Ausgabe freie Lüftung und Ausgabe vg R-LG",Eingabe!L86="nein")),IF(ISBLANK(Eingabe!$N86),"",Eingabe!$I86),"")</f>
        <v/>
      </c>
      <c r="C103" s="493"/>
      <c r="D103" s="493"/>
      <c r="E103" s="494"/>
      <c r="F103" s="99"/>
      <c r="G103" s="102" t="str">
        <f>IF($B103="",CHAR(111),IF(Eingabe!$X$67="Schachtlüftung",CHAR(111),CHAR(254)))</f>
        <v>o</v>
      </c>
      <c r="H103" s="4"/>
      <c r="I103" s="102" t="str">
        <f>IF($B103="",CHAR(111),CHAR(254))</f>
        <v>o</v>
      </c>
      <c r="J103" s="4"/>
      <c r="K103" s="102" t="str">
        <f>IF($B103="",CHAR(111),IF(Eingabe!$X$67="Schachtlüftung",CHAR(254),CHAR(111)))</f>
        <v>o</v>
      </c>
      <c r="L103" s="495" t="str">
        <f>CHAR(111)</f>
        <v>o</v>
      </c>
      <c r="M103" s="496"/>
      <c r="N103" s="102" t="str">
        <f>CHAR(111)</f>
        <v>o</v>
      </c>
      <c r="O103" s="102" t="str">
        <f>IF($B103="",CHAR(111),IF(Eingabe!$X$67="Schachtlüftung",CHAR(254),CHAR(111)))</f>
        <v>o</v>
      </c>
      <c r="P103" s="4"/>
      <c r="Q103" s="103"/>
      <c r="R103" s="503"/>
      <c r="S103" s="504"/>
    </row>
    <row r="104" spans="1:19" s="5" customFormat="1" ht="15" customHeight="1" x14ac:dyDescent="0.2">
      <c r="A104" s="212" t="s">
        <v>386</v>
      </c>
      <c r="B104" s="28" t="str">
        <f>IF(B103="","",IF(ISBLANK(Eingabe!$N86),"",Eingabe!$Q86))</f>
        <v/>
      </c>
      <c r="C104" s="28" t="s">
        <v>25</v>
      </c>
      <c r="D104" s="100" t="s">
        <v>345</v>
      </c>
      <c r="E104" s="213" t="s">
        <v>389</v>
      </c>
      <c r="F104" s="92"/>
      <c r="G104" s="93" t="str">
        <f>IF(G103="o","-",IF(Eingabe!$X$67="Querlüftung (FS)",2*Eingabe!$Y$81/(Eingabe!$Y$101+Eingabe!$Y$84)*$N$19,IF(Eingabe!$X$67="Querlüftung",2*Eingabe!$Y$81/(Eingabe!$Y$101+Eingabe!$Y$84)*$N$25,"-")))</f>
        <v>-</v>
      </c>
      <c r="H104" s="92"/>
      <c r="I104" s="93" t="str">
        <f>IF(I103="o","-",IF(Eingabe!$X$67="Querlüftung (FS)",2*Eingabe!$Y$81/(Eingabe!$Y$101+Eingabe!$Y$84)*$N$21,IF(Eingabe!$X$67="Querlüftung",2*Eingabe!$Y$81/(Eingabe!$Y$101+Eingabe!$Y$84)*$N$27,IF(Eingabe!$X$67="Schachtlüftung",Eingabe!$Y$81/Eingabe!$Y$84*$N$27,"Fehler"))))</f>
        <v>-</v>
      </c>
      <c r="J104" s="73"/>
      <c r="K104" s="93" t="str">
        <f>IF(K103="o","-",IF(Eingabe!$X$67="Schachtlüftung",Eingabe!$Y$81/Eingabe!$Y$84*$N$29,"-"))</f>
        <v>-</v>
      </c>
      <c r="L104" s="499" t="s">
        <v>37</v>
      </c>
      <c r="M104" s="500"/>
      <c r="N104" s="93" t="s">
        <v>37</v>
      </c>
      <c r="O104" s="93" t="str">
        <f>IF(O103="o","-",IF(Eingabe!$X$67="Schachtlüftung",Eingabe!$Y$81/Eingabe!$Y$84*$N$29,"-"))</f>
        <v>-</v>
      </c>
      <c r="P104" s="73"/>
      <c r="Q104" s="104"/>
      <c r="R104" s="509"/>
      <c r="S104" s="510"/>
    </row>
    <row r="105" spans="1:19" s="5" customFormat="1" ht="15" customHeight="1" x14ac:dyDescent="0.2">
      <c r="A105" s="97" t="s">
        <v>387</v>
      </c>
      <c r="B105" s="492" t="str">
        <f>IF(OR(Eingabe!$L$108="Ausgabe freie Lüftung",AND(Eingabe!L108="Ausgabe freie Lüftung und Ausgabe vg R-LG",Eingabe!L87="nein")),IF(ISBLANK(Eingabe!$N87),"",Eingabe!$I87),"")</f>
        <v/>
      </c>
      <c r="C105" s="493"/>
      <c r="D105" s="493"/>
      <c r="E105" s="494"/>
      <c r="F105" s="99"/>
      <c r="G105" s="102" t="str">
        <f>IF($B105="",CHAR(111),IF(Eingabe!$X$67="Schachtlüftung",CHAR(111),CHAR(254)))</f>
        <v>o</v>
      </c>
      <c r="H105" s="4"/>
      <c r="I105" s="102" t="str">
        <f>IF($B105="",CHAR(111),CHAR(254))</f>
        <v>o</v>
      </c>
      <c r="J105" s="4"/>
      <c r="K105" s="102" t="str">
        <f>IF($B105="",CHAR(111),IF(Eingabe!$X$67="Schachtlüftung",CHAR(254),CHAR(111)))</f>
        <v>o</v>
      </c>
      <c r="L105" s="495" t="str">
        <f>CHAR(111)</f>
        <v>o</v>
      </c>
      <c r="M105" s="496"/>
      <c r="N105" s="102" t="str">
        <f>CHAR(111)</f>
        <v>o</v>
      </c>
      <c r="O105" s="102" t="str">
        <f>IF($B105="",CHAR(111),IF(Eingabe!$X$67="Schachtlüftung",CHAR(254),CHAR(111)))</f>
        <v>o</v>
      </c>
      <c r="P105" s="4"/>
      <c r="Q105" s="103"/>
      <c r="R105" s="503"/>
      <c r="S105" s="504"/>
    </row>
    <row r="106" spans="1:19" s="5" customFormat="1" ht="15" customHeight="1" x14ac:dyDescent="0.2">
      <c r="A106" s="212" t="s">
        <v>386</v>
      </c>
      <c r="B106" s="28" t="str">
        <f>IF(B105="","",IF(ISBLANK(Eingabe!$N87),"",Eingabe!$Q87))</f>
        <v/>
      </c>
      <c r="C106" s="28" t="s">
        <v>25</v>
      </c>
      <c r="D106" s="100" t="s">
        <v>345</v>
      </c>
      <c r="E106" s="213" t="s">
        <v>389</v>
      </c>
      <c r="F106" s="92"/>
      <c r="G106" s="93" t="str">
        <f>IF(G105="o","-",IF(Eingabe!$X$67="Querlüftung (FS)",2*Eingabe!$Y$82/(Eingabe!$Y$101+Eingabe!$Y$84)*$N$19,IF(Eingabe!$X$67="Querlüftung",2*Eingabe!$Y$82/(Eingabe!$Y$101+Eingabe!$Y$84)*$N$25,"-")))</f>
        <v>-</v>
      </c>
      <c r="H106" s="92"/>
      <c r="I106" s="93" t="str">
        <f>IF(I105="o","-",IF(Eingabe!$X$67="Querlüftung (FS)",2*Eingabe!$Y$82/(Eingabe!$Y$101+Eingabe!$Y$84)*$N$21,IF(Eingabe!$X$67="Querlüftung",2*Eingabe!$Y$82/(Eingabe!$Y$101+Eingabe!$Y$84)*$N$27,IF(Eingabe!$X$67="Schachtlüftung",Eingabe!$Y$82/Eingabe!$Y$84*$N$27,"Fehler"))))</f>
        <v>-</v>
      </c>
      <c r="J106" s="73"/>
      <c r="K106" s="93" t="str">
        <f>IF(K105="o","-",IF(Eingabe!$X$67="Schachtlüftung",Eingabe!$Y$82/Eingabe!$Y$84*$N$29,"-"))</f>
        <v>-</v>
      </c>
      <c r="L106" s="499" t="s">
        <v>37</v>
      </c>
      <c r="M106" s="500"/>
      <c r="N106" s="93" t="s">
        <v>37</v>
      </c>
      <c r="O106" s="93" t="str">
        <f>IF(O105="o","-",IF(Eingabe!$X$67="Schachtlüftung",Eingabe!$Y$82/Eingabe!$Y$84*$N$29,"-"))</f>
        <v>-</v>
      </c>
      <c r="P106" s="73"/>
      <c r="Q106" s="104"/>
      <c r="R106" s="509"/>
      <c r="S106" s="510"/>
    </row>
    <row r="107" spans="1:19" s="5" customFormat="1" ht="15" customHeight="1" x14ac:dyDescent="0.2">
      <c r="A107" s="97" t="s">
        <v>387</v>
      </c>
      <c r="B107" s="492" t="str">
        <f>IF(OR(Eingabe!$L$108="Ausgabe freie Lüftung",AND(Eingabe!L108="Ausgabe freie Lüftung und Ausgabe vg R-LG",Eingabe!L88="nein")),IF(ISBLANK(Eingabe!$N88),"",Eingabe!$I88),"")</f>
        <v/>
      </c>
      <c r="C107" s="493"/>
      <c r="D107" s="493"/>
      <c r="E107" s="494"/>
      <c r="F107" s="99"/>
      <c r="G107" s="102" t="str">
        <f>IF($B107="",CHAR(111),IF(Eingabe!$X$67="Schachtlüftung",CHAR(111),CHAR(254)))</f>
        <v>o</v>
      </c>
      <c r="H107" s="4"/>
      <c r="I107" s="102" t="str">
        <f>IF($B107="",CHAR(111),CHAR(254))</f>
        <v>o</v>
      </c>
      <c r="J107" s="4"/>
      <c r="K107" s="102" t="str">
        <f>IF($B107="",CHAR(111),IF(Eingabe!$X$67="Schachtlüftung",CHAR(254),CHAR(111)))</f>
        <v>o</v>
      </c>
      <c r="L107" s="495" t="str">
        <f>CHAR(111)</f>
        <v>o</v>
      </c>
      <c r="M107" s="496"/>
      <c r="N107" s="102" t="str">
        <f>CHAR(111)</f>
        <v>o</v>
      </c>
      <c r="O107" s="102" t="str">
        <f>IF($B107="",CHAR(111),IF(Eingabe!$X$67="Schachtlüftung",CHAR(254),CHAR(111)))</f>
        <v>o</v>
      </c>
      <c r="P107" s="4"/>
      <c r="Q107" s="103"/>
      <c r="R107" s="503"/>
      <c r="S107" s="504"/>
    </row>
    <row r="108" spans="1:19" s="5" customFormat="1" ht="15" customHeight="1" x14ac:dyDescent="0.2">
      <c r="A108" s="214" t="s">
        <v>386</v>
      </c>
      <c r="B108" s="109" t="str">
        <f>IF(B107="","",IF(ISBLANK(Eingabe!$N88),"",Eingabe!$Q88))</f>
        <v/>
      </c>
      <c r="C108" s="109" t="s">
        <v>25</v>
      </c>
      <c r="D108" s="91" t="s">
        <v>345</v>
      </c>
      <c r="E108" s="117" t="s">
        <v>389</v>
      </c>
      <c r="F108" s="111"/>
      <c r="G108" s="93" t="str">
        <f>IF(G107="o","-",IF(Eingabe!$X$67="Querlüftung (FS)",2*Eingabe!$Y$83/(Eingabe!$Y$101+Eingabe!$Y$84)*$N$19,IF(Eingabe!$X$67="Querlüftung",2*Eingabe!$Y$83/(Eingabe!$Y$101+Eingabe!$Y$84)*$N$25,"-")))</f>
        <v>-</v>
      </c>
      <c r="H108" s="92"/>
      <c r="I108" s="93" t="str">
        <f>IF(I107="o","-",IF(Eingabe!$X$67="Querlüftung (FS)",2*Eingabe!$Y$83/(Eingabe!$Y$101+Eingabe!$Y$84)*$N$21,IF(Eingabe!$X$67="Querlüftung",2*Eingabe!$Y$83/(Eingabe!$Y$101+Eingabe!$Y$84)*$N$27,IF(Eingabe!$X$67="Schachtlüftung",Eingabe!$Y$83/Eingabe!$Y$84*$N$27,"Fehler"))))</f>
        <v>-</v>
      </c>
      <c r="J108" s="73"/>
      <c r="K108" s="93" t="str">
        <f>IF(K107="o","-",IF(Eingabe!$X$67="Schachtlüftung",Eingabe!$Y$83/Eingabe!$Y$84*$N$29,"-"))</f>
        <v>-</v>
      </c>
      <c r="L108" s="499" t="s">
        <v>37</v>
      </c>
      <c r="M108" s="500"/>
      <c r="N108" s="93" t="s">
        <v>37</v>
      </c>
      <c r="O108" s="93" t="str">
        <f>IF(O107="o","-",IF(Eingabe!$X$67="Schachtlüftung",Eingabe!$Y$83/Eingabe!$Y$84*$N$29,"-"))</f>
        <v>-</v>
      </c>
      <c r="P108" s="113"/>
      <c r="Q108" s="114"/>
      <c r="R108" s="516"/>
      <c r="S108" s="517"/>
    </row>
    <row r="109" spans="1:19" s="5" customFormat="1" ht="18" customHeight="1" x14ac:dyDescent="0.2">
      <c r="A109" s="116"/>
      <c r="B109" s="17"/>
      <c r="C109" s="90" t="s">
        <v>393</v>
      </c>
      <c r="D109" s="115" t="s">
        <v>391</v>
      </c>
      <c r="E109" s="117" t="s">
        <v>389</v>
      </c>
      <c r="F109" s="17"/>
      <c r="G109" s="118" t="str">
        <f>IF(Eingabe!$L$108="Ausgabe freie Lüftung und Ausgabe vg R-LG",SUM(G79:G108),IF($B79="","-",IF(G79="o","-",IF(G79="þ",SUM(G79:G108),0))))</f>
        <v>-</v>
      </c>
      <c r="H109" s="17"/>
      <c r="I109" s="118" t="str">
        <f>IF(Eingabe!$L$108="Ausgabe freie Lüftung und Ausgabe vg R-LG",SUM(I79:I108),IF($B81="","-",IF(I79="o","-",IF(I79="þ",SUM(I79:I108),0))))</f>
        <v>-</v>
      </c>
      <c r="J109" s="17"/>
      <c r="K109" s="118" t="str">
        <f>IF($B79="","-",IF(K79="o","-",IF(K79="þ",SUM(K79:K108),0)))</f>
        <v>-</v>
      </c>
      <c r="L109" s="518" t="str">
        <f>IF($B79="","-",IF(L79="o","-",IF(L79="þ",SUM(L79:L108),0)))</f>
        <v>-</v>
      </c>
      <c r="M109" s="519"/>
      <c r="N109" s="118" t="str">
        <f>IF($B79="","-",IF(N79="o","-",IF(N79="þ",SUM(N79:N108),0)))</f>
        <v>-</v>
      </c>
      <c r="O109" s="118" t="str">
        <f>IF($B79="","-",IF(O79="o","-",IF(O79="þ",SUM(O79:O108),0)))</f>
        <v>-</v>
      </c>
      <c r="P109" s="17"/>
      <c r="Q109" s="119"/>
      <c r="R109" s="520"/>
      <c r="S109" s="379"/>
    </row>
    <row r="110" spans="1:19" s="5" customFormat="1" ht="18" customHeight="1" x14ac:dyDescent="0.2">
      <c r="A110"/>
      <c r="B110"/>
      <c r="C110"/>
      <c r="D110"/>
      <c r="E110"/>
      <c r="F110"/>
      <c r="G110"/>
      <c r="H110"/>
      <c r="I110"/>
      <c r="J110"/>
      <c r="K110"/>
      <c r="L110"/>
      <c r="M110"/>
      <c r="N110"/>
      <c r="O110"/>
      <c r="P110"/>
      <c r="Q110"/>
      <c r="R110"/>
      <c r="S110"/>
    </row>
  </sheetData>
  <sheetProtection password="EFEE" sheet="1" objects="1" scenarios="1"/>
  <mergeCells count="194">
    <mergeCell ref="L102:M102"/>
    <mergeCell ref="R102:S102"/>
    <mergeCell ref="B103:E103"/>
    <mergeCell ref="L103:M103"/>
    <mergeCell ref="R103:S103"/>
    <mergeCell ref="L104:M104"/>
    <mergeCell ref="R104:S104"/>
    <mergeCell ref="B99:E99"/>
    <mergeCell ref="L99:M99"/>
    <mergeCell ref="R99:S99"/>
    <mergeCell ref="L100:M100"/>
    <mergeCell ref="R100:S100"/>
    <mergeCell ref="B101:E101"/>
    <mergeCell ref="L101:M101"/>
    <mergeCell ref="R101:S101"/>
    <mergeCell ref="L108:M108"/>
    <mergeCell ref="R108:S108"/>
    <mergeCell ref="L109:M109"/>
    <mergeCell ref="R109:S109"/>
    <mergeCell ref="B105:E105"/>
    <mergeCell ref="L105:M105"/>
    <mergeCell ref="R105:S105"/>
    <mergeCell ref="L106:M106"/>
    <mergeCell ref="R106:S106"/>
    <mergeCell ref="B107:E107"/>
    <mergeCell ref="L107:M107"/>
    <mergeCell ref="R107:S107"/>
    <mergeCell ref="L96:M96"/>
    <mergeCell ref="R96:S96"/>
    <mergeCell ref="B97:E97"/>
    <mergeCell ref="L97:M97"/>
    <mergeCell ref="R97:S97"/>
    <mergeCell ref="L98:M98"/>
    <mergeCell ref="R98:S98"/>
    <mergeCell ref="B93:E93"/>
    <mergeCell ref="L93:M93"/>
    <mergeCell ref="R93:S93"/>
    <mergeCell ref="L94:M94"/>
    <mergeCell ref="R94:S94"/>
    <mergeCell ref="B95:E95"/>
    <mergeCell ref="L95:M95"/>
    <mergeCell ref="R95:S95"/>
    <mergeCell ref="L90:M90"/>
    <mergeCell ref="R90:S90"/>
    <mergeCell ref="B91:E91"/>
    <mergeCell ref="L91:M91"/>
    <mergeCell ref="R91:S91"/>
    <mergeCell ref="L92:M92"/>
    <mergeCell ref="R92:S92"/>
    <mergeCell ref="B87:E87"/>
    <mergeCell ref="L87:M87"/>
    <mergeCell ref="R87:S87"/>
    <mergeCell ref="L88:M88"/>
    <mergeCell ref="R88:S88"/>
    <mergeCell ref="B89:E89"/>
    <mergeCell ref="L89:M89"/>
    <mergeCell ref="R89:S89"/>
    <mergeCell ref="L84:M84"/>
    <mergeCell ref="R84:S84"/>
    <mergeCell ref="B85:E85"/>
    <mergeCell ref="L85:M85"/>
    <mergeCell ref="R85:S85"/>
    <mergeCell ref="L86:M86"/>
    <mergeCell ref="R86:S86"/>
    <mergeCell ref="B81:E81"/>
    <mergeCell ref="L81:M81"/>
    <mergeCell ref="R81:S81"/>
    <mergeCell ref="L82:M82"/>
    <mergeCell ref="R82:S82"/>
    <mergeCell ref="B83:E83"/>
    <mergeCell ref="L83:M83"/>
    <mergeCell ref="R83:S83"/>
    <mergeCell ref="L78:M78"/>
    <mergeCell ref="R78:S78"/>
    <mergeCell ref="B79:E79"/>
    <mergeCell ref="L79:M79"/>
    <mergeCell ref="R79:S79"/>
    <mergeCell ref="L80:M80"/>
    <mergeCell ref="R80:S80"/>
    <mergeCell ref="L71:M71"/>
    <mergeCell ref="R71:S71"/>
    <mergeCell ref="L72:M72"/>
    <mergeCell ref="R72:S72"/>
    <mergeCell ref="D76:L76"/>
    <mergeCell ref="N76:S76"/>
    <mergeCell ref="B68:E68"/>
    <mergeCell ref="L68:M68"/>
    <mergeCell ref="R68:S68"/>
    <mergeCell ref="L69:M69"/>
    <mergeCell ref="R69:S69"/>
    <mergeCell ref="B70:E70"/>
    <mergeCell ref="L70:M70"/>
    <mergeCell ref="R70:S70"/>
    <mergeCell ref="L65:M65"/>
    <mergeCell ref="R65:S65"/>
    <mergeCell ref="B66:E66"/>
    <mergeCell ref="L66:M66"/>
    <mergeCell ref="R66:S66"/>
    <mergeCell ref="L67:M67"/>
    <mergeCell ref="R67:S67"/>
    <mergeCell ref="B62:E62"/>
    <mergeCell ref="L62:M62"/>
    <mergeCell ref="R62:S62"/>
    <mergeCell ref="L63:M63"/>
    <mergeCell ref="R63:S63"/>
    <mergeCell ref="B64:E64"/>
    <mergeCell ref="L64:M64"/>
    <mergeCell ref="R64:S64"/>
    <mergeCell ref="L59:M59"/>
    <mergeCell ref="R59:S59"/>
    <mergeCell ref="B60:E60"/>
    <mergeCell ref="L60:M60"/>
    <mergeCell ref="R60:S60"/>
    <mergeCell ref="L61:M61"/>
    <mergeCell ref="R61:S61"/>
    <mergeCell ref="B56:E56"/>
    <mergeCell ref="L56:M56"/>
    <mergeCell ref="R56:S56"/>
    <mergeCell ref="L57:M57"/>
    <mergeCell ref="R57:S57"/>
    <mergeCell ref="B58:E58"/>
    <mergeCell ref="L58:M58"/>
    <mergeCell ref="R58:S58"/>
    <mergeCell ref="L53:M53"/>
    <mergeCell ref="R53:S53"/>
    <mergeCell ref="B54:E54"/>
    <mergeCell ref="L54:M54"/>
    <mergeCell ref="R54:S54"/>
    <mergeCell ref="L55:M55"/>
    <mergeCell ref="R55:S55"/>
    <mergeCell ref="B50:E50"/>
    <mergeCell ref="L50:M50"/>
    <mergeCell ref="R50:S50"/>
    <mergeCell ref="L51:M51"/>
    <mergeCell ref="R51:S51"/>
    <mergeCell ref="B52:E52"/>
    <mergeCell ref="L52:M52"/>
    <mergeCell ref="R52:S52"/>
    <mergeCell ref="L47:M47"/>
    <mergeCell ref="R47:S47"/>
    <mergeCell ref="B48:E48"/>
    <mergeCell ref="L48:M48"/>
    <mergeCell ref="R48:S48"/>
    <mergeCell ref="L49:M49"/>
    <mergeCell ref="R49:S49"/>
    <mergeCell ref="B44:E44"/>
    <mergeCell ref="L44:M44"/>
    <mergeCell ref="R44:S44"/>
    <mergeCell ref="L45:M45"/>
    <mergeCell ref="R45:S45"/>
    <mergeCell ref="B46:E46"/>
    <mergeCell ref="L46:M46"/>
    <mergeCell ref="R46:S46"/>
    <mergeCell ref="L41:M41"/>
    <mergeCell ref="R41:S41"/>
    <mergeCell ref="B42:E42"/>
    <mergeCell ref="L42:M42"/>
    <mergeCell ref="R42:S42"/>
    <mergeCell ref="L43:M43"/>
    <mergeCell ref="R43:S43"/>
    <mergeCell ref="N33:O33"/>
    <mergeCell ref="N35:O35"/>
    <mergeCell ref="D39:L39"/>
    <mergeCell ref="N39:S39"/>
    <mergeCell ref="D5:L5"/>
    <mergeCell ref="N5:S5"/>
    <mergeCell ref="D7:I7"/>
    <mergeCell ref="N7:O7"/>
    <mergeCell ref="D9:I9"/>
    <mergeCell ref="N9:O9"/>
    <mergeCell ref="D11:I11"/>
    <mergeCell ref="N11:O11"/>
    <mergeCell ref="D17:L17"/>
    <mergeCell ref="N17:S17"/>
    <mergeCell ref="AE19:AF19"/>
    <mergeCell ref="AG19:AJ19"/>
    <mergeCell ref="N19:O19"/>
    <mergeCell ref="N29:O29"/>
    <mergeCell ref="N31:O31"/>
    <mergeCell ref="AE25:AF25"/>
    <mergeCell ref="AH25:AJ25"/>
    <mergeCell ref="N25:O25"/>
    <mergeCell ref="AH26:AJ26"/>
    <mergeCell ref="AI27:AJ27"/>
    <mergeCell ref="N27:O27"/>
    <mergeCell ref="Z24:AA24"/>
    <mergeCell ref="AH20:AJ20"/>
    <mergeCell ref="AD21:AD23"/>
    <mergeCell ref="AE21:AG23"/>
    <mergeCell ref="AH21:AI21"/>
    <mergeCell ref="AJ21:AJ23"/>
    <mergeCell ref="N21:O21"/>
    <mergeCell ref="AH23:AI23"/>
    <mergeCell ref="N23:O23"/>
  </mergeCells>
  <conditionalFormatting sqref="B43 B80 B45 B47 B49 B51 B53 B55 B57 B59 B61 B63 B65 B67 B69 B71 B82 B84 B86 B88 B90 B92 B94 B96 B98 B100 B102 B104 B106 B108">
    <cfRule type="expression" dxfId="33" priority="27" stopIfTrue="1">
      <formula>B43=""</formula>
    </cfRule>
    <cfRule type="expression" dxfId="32" priority="28" stopIfTrue="1">
      <formula>ISTEXT(B42)</formula>
    </cfRule>
  </conditionalFormatting>
  <conditionalFormatting sqref="C43 C45 C47 C49 C51 C53 C55 C57 C59 C61 C63 C65 C67 C69 C71 C80 C82 C84 C86 C88 C90 C92 C94 C96 C98 C100 C102 C104 C106 C108">
    <cfRule type="expression" dxfId="31" priority="25" stopIfTrue="1">
      <formula>B42=""</formula>
    </cfRule>
    <cfRule type="expression" dxfId="30" priority="26" stopIfTrue="1">
      <formula>ISTEXT(B42)</formula>
    </cfRule>
  </conditionalFormatting>
  <conditionalFormatting sqref="H47 H45 H53 H51 H43 F43 D23:H23 D21:H21 D29:H29 D27:H27 D35:H35 D33:H33 H55 F55 F45 F47 H49 F49 F51 F53 H57 F57 H59 F59 H61 F61 H63 F63 H65 F65 H67 F67 H69 F69 H71 F71 F108 H80 F80 F92 F82 F84 F86 F88 F90 F94 F96 F98 F100 F102 F104 F106 H82 H84 H86 H88 H90 H92 H94 H96 H98 H100 H102 H104 H106 H108 Q9 D9:I9 K9:L9 D11:I12 K11:L11 Q11">
    <cfRule type="expression" dxfId="29" priority="13" stopIfTrue="1">
      <formula>#REF!="Querlüftung (FS)"</formula>
    </cfRule>
    <cfRule type="expression" dxfId="28" priority="14" stopIfTrue="1">
      <formula>OR(#REF!="Querlüftung",#REF!="Schachtlüftung",#REF!="Zuluftsystem",#REF!="Abluftsystem",#REF!="Zu-/Abluft-System")</formula>
    </cfRule>
  </conditionalFormatting>
  <conditionalFormatting sqref="G41 I41 Q41 Q43 K23:N23 N41:O41 K19:N19 K21:N21 L43 K41:L41 G19 I19 Q19 Q21 Q23 I21 I23 Q55 L55 Q45 L45 Q47 L47 Q49 L49 Q51 L51 Q53 L53 Q57 L57 Q59 L59 Q61 L61 Q63 L63 Q65 L65 Q67 L67 Q69 L69 Q71 L71 G78 I78 Q78 Q80 N78:O78 L80 K78:L78 Q92 Q82 Q84 Q86 Q88 Q90 Q94 Q96 Q98 Q100 Q102 Q104 Q106 Q108 L82 L84 L86 L88 L90 L92 L94 L96 L98 L100 L102 L104 L106 L108">
    <cfRule type="expression" dxfId="27" priority="11" stopIfTrue="1">
      <formula>$N$17="Querlüftung (FS)"</formula>
    </cfRule>
    <cfRule type="expression" dxfId="26" priority="12" stopIfTrue="1">
      <formula>OR($N$17="Querlüftung",$N$17="Schachtlüftung")</formula>
    </cfRule>
  </conditionalFormatting>
  <conditionalFormatting sqref="I27 I29 K29:N29 K25:N25 Q25 G25 Q27 I25 Q29 K27:N27">
    <cfRule type="expression" dxfId="25" priority="9" stopIfTrue="1">
      <formula>$N$17="Querlüftung (FS)"</formula>
    </cfRule>
    <cfRule type="expression" dxfId="24" priority="10" stopIfTrue="1">
      <formula>OR($N$17="Querlüftung",$N$17="Schachtlüftung")</formula>
    </cfRule>
  </conditionalFormatting>
  <pageMargins left="0.7" right="0.7" top="0.75" bottom="0.75" header="0.3" footer="0.3"/>
  <pageSetup paperSize="9" scale="75" orientation="portrait" horizontalDpi="300" verticalDpi="300" r:id="rId1"/>
  <headerFooter alignWithMargins="0">
    <oddFooter>&amp;L&amp;F - &amp;A&amp;R&amp;P</oddFooter>
  </headerFooter>
  <rowBreaks count="2" manualBreakCount="2">
    <brk id="36" max="18" man="1"/>
    <brk id="73"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L115"/>
  <sheetViews>
    <sheetView showGridLines="0" zoomScale="130" zoomScaleNormal="130" zoomScaleSheetLayoutView="115" workbookViewId="0">
      <selection activeCell="A2" sqref="A2"/>
    </sheetView>
  </sheetViews>
  <sheetFormatPr baseColWidth="10" defaultRowHeight="12.75" x14ac:dyDescent="0.2"/>
  <cols>
    <col min="1" max="1" width="8.7109375" customWidth="1"/>
    <col min="2" max="2" width="7.7109375" customWidth="1"/>
    <col min="3" max="4" width="4.7109375" customWidth="1"/>
    <col min="5" max="5" width="5.7109375" customWidth="1"/>
    <col min="6" max="6" width="1.7109375" customWidth="1"/>
    <col min="7" max="7" width="9.7109375" customWidth="1"/>
    <col min="8" max="8" width="1.7109375" customWidth="1"/>
    <col min="9" max="9" width="8.7109375" customWidth="1"/>
    <col min="10" max="10" width="1.7109375" customWidth="1"/>
    <col min="11" max="11" width="7.7109375" customWidth="1"/>
    <col min="12" max="12" width="6.7109375" customWidth="1"/>
    <col min="13" max="13" width="1.7109375" customWidth="1"/>
    <col min="14" max="15" width="9.7109375" customWidth="1"/>
    <col min="16" max="16" width="1.7109375" customWidth="1"/>
    <col min="17" max="17" width="14.7109375" customWidth="1"/>
    <col min="18" max="18" width="1.7109375" customWidth="1"/>
    <col min="19" max="19" width="6.7109375" customWidth="1"/>
    <col min="21" max="21" width="11.42578125" hidden="1" customWidth="1"/>
    <col min="22" max="22" width="15.28515625" hidden="1" customWidth="1"/>
    <col min="23" max="23" width="17.140625" hidden="1" customWidth="1"/>
    <col min="24" max="24" width="16.42578125" hidden="1" customWidth="1"/>
    <col min="25" max="25" width="16.85546875" hidden="1" customWidth="1"/>
    <col min="26" max="26" width="12.28515625" hidden="1" customWidth="1"/>
    <col min="27" max="27" width="19.85546875" hidden="1" customWidth="1"/>
    <col min="28" max="29" width="11.42578125" hidden="1" customWidth="1"/>
    <col min="30" max="30" width="15" hidden="1" customWidth="1"/>
    <col min="31" max="31" width="13.7109375" hidden="1" customWidth="1"/>
    <col min="32" max="32" width="14.85546875" hidden="1" customWidth="1"/>
    <col min="33" max="33" width="13.42578125" hidden="1" customWidth="1"/>
    <col min="34" max="34" width="15.85546875" hidden="1" customWidth="1"/>
    <col min="35" max="35" width="10.5703125" hidden="1" customWidth="1"/>
    <col min="36" max="38" width="11.42578125" hidden="1" customWidth="1"/>
    <col min="39" max="41" width="0" hidden="1" customWidth="1"/>
  </cols>
  <sheetData>
    <row r="1" spans="1:36" ht="18.75" customHeight="1" x14ac:dyDescent="0.3">
      <c r="A1" s="264" t="s">
        <v>459</v>
      </c>
      <c r="B1" s="54"/>
      <c r="C1" s="54"/>
      <c r="D1" s="54"/>
      <c r="E1" s="54"/>
      <c r="F1" s="54"/>
      <c r="G1" s="54"/>
      <c r="H1" s="54"/>
      <c r="I1" s="54"/>
      <c r="J1" s="54"/>
      <c r="L1" s="265" t="s">
        <v>458</v>
      </c>
      <c r="V1" s="120"/>
      <c r="W1" s="134" t="s">
        <v>57</v>
      </c>
      <c r="X1" s="135"/>
      <c r="Y1" s="135"/>
      <c r="Z1" s="136"/>
    </row>
    <row r="2" spans="1:36" ht="35.1" customHeight="1" x14ac:dyDescent="0.2">
      <c r="A2" s="50"/>
      <c r="B2" s="50"/>
      <c r="C2" s="50"/>
      <c r="D2" s="50"/>
      <c r="E2" s="50"/>
      <c r="F2" s="50"/>
      <c r="G2" s="50"/>
      <c r="H2" s="50"/>
      <c r="I2" s="50"/>
      <c r="J2" s="50"/>
      <c r="K2" s="50"/>
      <c r="L2" s="50"/>
      <c r="M2" s="50"/>
      <c r="N2" s="50"/>
      <c r="O2" s="50"/>
      <c r="P2" s="50"/>
      <c r="Q2" s="50"/>
      <c r="R2" s="50"/>
      <c r="S2" s="50"/>
      <c r="V2" s="131"/>
      <c r="W2" s="149" t="s">
        <v>333</v>
      </c>
      <c r="X2" s="19"/>
      <c r="Y2" s="64" t="s">
        <v>432</v>
      </c>
      <c r="Z2" s="150"/>
    </row>
    <row r="3" spans="1:36" ht="18" customHeight="1" x14ac:dyDescent="0.2">
      <c r="A3" s="6" t="s">
        <v>328</v>
      </c>
      <c r="B3" s="4"/>
      <c r="C3" s="4"/>
      <c r="D3" s="4"/>
      <c r="E3" s="4"/>
      <c r="F3" s="4"/>
      <c r="G3" s="4"/>
      <c r="H3" s="4"/>
      <c r="I3" s="4"/>
      <c r="J3" s="4"/>
      <c r="K3" s="4"/>
      <c r="L3" s="4"/>
      <c r="M3" s="4"/>
      <c r="N3" s="4"/>
      <c r="O3" s="4"/>
      <c r="P3" s="4"/>
      <c r="Q3" s="4"/>
      <c r="R3" s="4"/>
      <c r="S3" s="4"/>
      <c r="T3" s="50"/>
      <c r="V3" s="131"/>
      <c r="W3" s="44" t="s">
        <v>335</v>
      </c>
      <c r="X3" s="207" t="str">
        <f>Eingabe!X108</f>
        <v>-</v>
      </c>
      <c r="Y3" s="44" t="s">
        <v>341</v>
      </c>
      <c r="Z3" s="208">
        <f>Eingabe!Z108</f>
        <v>55</v>
      </c>
    </row>
    <row r="4" spans="1:36" ht="9.9499999999999993" customHeight="1" x14ac:dyDescent="0.2">
      <c r="A4" s="51"/>
      <c r="B4" s="50"/>
      <c r="C4" s="50"/>
      <c r="D4" s="50"/>
      <c r="E4" s="50"/>
      <c r="F4" s="50"/>
      <c r="G4" s="50"/>
      <c r="H4" s="50"/>
      <c r="I4" s="50"/>
      <c r="J4" s="50"/>
      <c r="K4" s="50"/>
      <c r="L4" s="50"/>
      <c r="M4" s="50"/>
      <c r="N4" s="50"/>
      <c r="O4" s="50"/>
      <c r="P4" s="50"/>
      <c r="Q4" s="50"/>
      <c r="R4" s="50"/>
      <c r="S4" s="52"/>
      <c r="V4" s="131" t="s">
        <v>301</v>
      </c>
      <c r="W4" s="209" t="s">
        <v>337</v>
      </c>
      <c r="X4" s="45">
        <f>Eingabe!X109</f>
        <v>0</v>
      </c>
      <c r="Y4" s="63" t="s">
        <v>430</v>
      </c>
      <c r="Z4" s="202">
        <f>Eingabe!Z109</f>
        <v>0</v>
      </c>
    </row>
    <row r="5" spans="1:36" ht="15" customHeight="1" x14ac:dyDescent="0.2">
      <c r="A5" s="296"/>
      <c r="B5" s="55"/>
      <c r="C5" s="55"/>
      <c r="D5" s="490" t="s">
        <v>379</v>
      </c>
      <c r="E5" s="490"/>
      <c r="F5" s="490"/>
      <c r="G5" s="490"/>
      <c r="H5" s="490"/>
      <c r="I5" s="490"/>
      <c r="J5" s="490"/>
      <c r="K5" s="490"/>
      <c r="L5" s="490"/>
      <c r="M5" s="203"/>
      <c r="N5" s="521" t="str">
        <f>IF(Eingabe!$L$108="Ausgabe vg Lüftung",Eingabe!$AA$65,"siehe Ausgabe freie Lüftung!")</f>
        <v>siehe Ausgabe freie Lüftung!</v>
      </c>
      <c r="O5" s="522"/>
      <c r="P5" s="522"/>
      <c r="Q5" s="522"/>
      <c r="R5" s="522"/>
      <c r="S5" s="523"/>
      <c r="V5" s="131" t="s">
        <v>303</v>
      </c>
      <c r="W5" s="210" t="s">
        <v>338</v>
      </c>
      <c r="X5" s="45">
        <f>Eingabe!X110</f>
        <v>0</v>
      </c>
      <c r="Y5" s="37" t="s">
        <v>344</v>
      </c>
      <c r="Z5" s="202">
        <f>Eingabe!Z110</f>
        <v>55</v>
      </c>
    </row>
    <row r="6" spans="1:36" ht="9.9499999999999993" customHeight="1" x14ac:dyDescent="0.2">
      <c r="A6" s="51"/>
      <c r="B6" s="50"/>
      <c r="C6" s="50"/>
      <c r="D6" s="4"/>
      <c r="E6" s="4"/>
      <c r="F6" s="4"/>
      <c r="G6" s="4"/>
      <c r="H6" s="4"/>
      <c r="I6" s="4"/>
      <c r="J6" s="4"/>
      <c r="K6" s="4"/>
      <c r="L6" s="89"/>
      <c r="M6" s="4"/>
      <c r="N6" s="4"/>
      <c r="O6" s="4"/>
      <c r="P6" s="4"/>
      <c r="Q6" s="4"/>
      <c r="R6" s="50"/>
      <c r="S6" s="52"/>
      <c r="V6" s="131"/>
      <c r="W6" s="9" t="s">
        <v>339</v>
      </c>
      <c r="X6" s="45">
        <f>Eingabe!X111</f>
        <v>0</v>
      </c>
      <c r="Y6" s="9" t="s">
        <v>335</v>
      </c>
      <c r="Z6" s="202">
        <f>Eingabe!Z111</f>
        <v>0</v>
      </c>
    </row>
    <row r="7" spans="1:36" ht="15" customHeight="1" x14ac:dyDescent="0.2">
      <c r="A7" s="51"/>
      <c r="B7" s="50"/>
      <c r="C7" s="50"/>
      <c r="D7" s="491" t="s">
        <v>331</v>
      </c>
      <c r="E7" s="491"/>
      <c r="F7" s="491"/>
      <c r="G7" s="491"/>
      <c r="H7" s="491"/>
      <c r="I7" s="491"/>
      <c r="J7" s="4"/>
      <c r="K7" s="61" t="s">
        <v>345</v>
      </c>
      <c r="L7" s="94" t="s">
        <v>348</v>
      </c>
      <c r="M7" s="4" t="s">
        <v>346</v>
      </c>
      <c r="N7" s="480" t="str">
        <f>IF(Eingabe!$L$108="Ausgabe vg Lüftung",IF(ISNUMBER($Z$10),$Z$10,0),"-")</f>
        <v>-</v>
      </c>
      <c r="O7" s="481"/>
      <c r="P7" s="4"/>
      <c r="Q7" s="84" t="s">
        <v>330</v>
      </c>
      <c r="R7" s="50"/>
      <c r="S7" s="52"/>
      <c r="V7" s="131"/>
      <c r="W7" s="9" t="s">
        <v>340</v>
      </c>
      <c r="X7" s="45">
        <f>Eingabe!X112</f>
        <v>38.5</v>
      </c>
      <c r="Y7" s="9" t="s">
        <v>340</v>
      </c>
      <c r="Z7" s="202">
        <f>Eingabe!Z112</f>
        <v>38.5</v>
      </c>
    </row>
    <row r="8" spans="1:36" ht="9.9499999999999993" customHeight="1" x14ac:dyDescent="0.2">
      <c r="A8" s="51"/>
      <c r="B8" s="50"/>
      <c r="C8" s="50"/>
      <c r="D8" s="4"/>
      <c r="E8" s="4"/>
      <c r="F8" s="4"/>
      <c r="G8" s="4"/>
      <c r="H8" s="4"/>
      <c r="I8" s="4"/>
      <c r="J8" s="4"/>
      <c r="K8" s="4"/>
      <c r="L8" s="89"/>
      <c r="M8" s="4"/>
      <c r="N8" s="4"/>
      <c r="O8" s="4"/>
      <c r="P8" s="4"/>
      <c r="Q8" s="4"/>
      <c r="R8" s="50"/>
      <c r="S8" s="52"/>
      <c r="V8" s="131"/>
      <c r="W8" s="9" t="s">
        <v>341</v>
      </c>
      <c r="X8" s="45">
        <f>Eingabe!X113</f>
        <v>55</v>
      </c>
      <c r="Y8" s="9" t="s">
        <v>342</v>
      </c>
      <c r="Z8" s="202">
        <f>Eingabe!Z113</f>
        <v>71.5</v>
      </c>
    </row>
    <row r="9" spans="1:36" ht="15" customHeight="1" x14ac:dyDescent="0.2">
      <c r="A9" s="51"/>
      <c r="B9" s="50"/>
      <c r="C9" s="50"/>
      <c r="D9" s="491" t="s">
        <v>332</v>
      </c>
      <c r="E9" s="491"/>
      <c r="F9" s="491"/>
      <c r="G9" s="491"/>
      <c r="H9" s="491"/>
      <c r="I9" s="491"/>
      <c r="J9" s="4"/>
      <c r="K9" s="61" t="s">
        <v>345</v>
      </c>
      <c r="L9" s="94" t="s">
        <v>347</v>
      </c>
      <c r="M9" s="4" t="s">
        <v>346</v>
      </c>
      <c r="N9" s="480" t="str">
        <f>IF(Eingabe!$L$108="Ausgabe vg Lüftung",IF(ISNUMBER($Z$5),$Z$5,0),"-")</f>
        <v>-</v>
      </c>
      <c r="O9" s="481"/>
      <c r="P9" s="4"/>
      <c r="Q9" s="84" t="s">
        <v>330</v>
      </c>
      <c r="R9" s="50"/>
      <c r="S9" s="52"/>
      <c r="V9" s="131"/>
      <c r="W9" s="9" t="s">
        <v>342</v>
      </c>
      <c r="X9" s="45">
        <f>Eingabe!X114</f>
        <v>71.5</v>
      </c>
      <c r="Y9" s="9" t="s">
        <v>339</v>
      </c>
      <c r="Z9" s="202">
        <f>Eingabe!Z114</f>
        <v>0</v>
      </c>
    </row>
    <row r="10" spans="1:36" ht="9.9499999999999993" customHeight="1" x14ac:dyDescent="0.2">
      <c r="A10" s="51"/>
      <c r="B10" s="50"/>
      <c r="C10" s="50"/>
      <c r="D10" s="269"/>
      <c r="E10" s="269"/>
      <c r="F10" s="269"/>
      <c r="G10" s="269"/>
      <c r="H10" s="269"/>
      <c r="I10" s="269"/>
      <c r="J10" s="4"/>
      <c r="K10" s="4"/>
      <c r="L10" s="89"/>
      <c r="M10" s="4"/>
      <c r="N10" s="4"/>
      <c r="O10" s="4"/>
      <c r="P10" s="4"/>
      <c r="Q10" s="4"/>
      <c r="R10" s="50"/>
      <c r="S10" s="52"/>
      <c r="V10" s="131"/>
      <c r="W10" s="9" t="s">
        <v>343</v>
      </c>
      <c r="X10" s="45" t="e">
        <f>Eingabe!X115</f>
        <v>#VALUE!</v>
      </c>
      <c r="Y10" s="9" t="s">
        <v>343</v>
      </c>
      <c r="Z10" s="202">
        <f>Eingabe!Z115</f>
        <v>38.5</v>
      </c>
    </row>
    <row r="11" spans="1:36" ht="15" customHeight="1" thickBot="1" x14ac:dyDescent="0.25">
      <c r="A11" s="51"/>
      <c r="B11" s="50"/>
      <c r="C11" s="50"/>
      <c r="D11" s="491" t="s">
        <v>435</v>
      </c>
      <c r="E11" s="491"/>
      <c r="F11" s="491"/>
      <c r="G11" s="491"/>
      <c r="H11" s="491"/>
      <c r="I11" s="491"/>
      <c r="J11" s="4"/>
      <c r="K11" s="61" t="s">
        <v>345</v>
      </c>
      <c r="L11" s="94" t="s">
        <v>434</v>
      </c>
      <c r="M11" s="4"/>
      <c r="N11" s="480" t="str">
        <f>IF(Eingabe!$L$108="Ausgabe vg Lüftung",IF(ISNUMBER($Z$11),$Z$11,0),"-")</f>
        <v>-</v>
      </c>
      <c r="O11" s="481"/>
      <c r="P11" s="4"/>
      <c r="Q11" s="84" t="s">
        <v>330</v>
      </c>
      <c r="R11" s="50"/>
      <c r="S11" s="52"/>
      <c r="V11" s="133"/>
      <c r="W11" s="16" t="s">
        <v>344</v>
      </c>
      <c r="X11" s="222" t="e">
        <f>Eingabe!X116</f>
        <v>#VALUE!</v>
      </c>
      <c r="Y11" s="16" t="s">
        <v>431</v>
      </c>
      <c r="Z11" s="221">
        <f>Eingabe!Z116</f>
        <v>71.5</v>
      </c>
    </row>
    <row r="12" spans="1:36" ht="9.9499999999999993" customHeight="1" x14ac:dyDescent="0.2">
      <c r="A12" s="53"/>
      <c r="B12" s="54"/>
      <c r="C12" s="54"/>
      <c r="D12" s="54"/>
      <c r="E12" s="54"/>
      <c r="F12" s="54"/>
      <c r="G12" s="54"/>
      <c r="H12" s="54"/>
      <c r="I12" s="54"/>
      <c r="J12" s="54"/>
      <c r="K12" s="54"/>
      <c r="L12" s="54"/>
      <c r="M12" s="54"/>
      <c r="N12" s="54"/>
      <c r="O12" s="54"/>
      <c r="P12" s="54"/>
      <c r="Q12" s="54"/>
      <c r="R12" s="54"/>
      <c r="S12" s="60"/>
      <c r="W12" s="11"/>
    </row>
    <row r="13" spans="1:36" ht="15" customHeight="1" thickBot="1" x14ac:dyDescent="0.25"/>
    <row r="14" spans="1:36" ht="18.75" customHeight="1" thickBot="1" x14ac:dyDescent="0.25">
      <c r="A14" s="6" t="s">
        <v>351</v>
      </c>
      <c r="V14" s="284" t="s">
        <v>352</v>
      </c>
      <c r="W14" s="285"/>
      <c r="X14" s="286"/>
      <c r="Y14" s="50"/>
      <c r="Z14" s="50"/>
      <c r="AA14" s="50"/>
      <c r="AB14" s="50"/>
      <c r="AD14" s="134" t="s">
        <v>34</v>
      </c>
      <c r="AE14" s="135" t="s">
        <v>370</v>
      </c>
      <c r="AF14" s="135"/>
      <c r="AG14" s="135"/>
      <c r="AH14" s="155"/>
      <c r="AI14" s="154"/>
      <c r="AJ14" s="121"/>
    </row>
    <row r="15" spans="1:36" ht="9.9499999999999993" customHeight="1" x14ac:dyDescent="0.2">
      <c r="V15" s="131" t="s">
        <v>62</v>
      </c>
      <c r="W15" s="80" t="b">
        <f>Eingabe!W120</f>
        <v>0</v>
      </c>
      <c r="X15" s="126"/>
      <c r="Y15" s="120" t="s">
        <v>443</v>
      </c>
      <c r="Z15" s="121">
        <f>Eingabe!$Q$42</f>
        <v>0</v>
      </c>
      <c r="AA15" s="50"/>
      <c r="AB15" s="50"/>
      <c r="AD15" s="139" t="s">
        <v>354</v>
      </c>
      <c r="AE15" s="4"/>
      <c r="AF15" s="4"/>
      <c r="AG15" s="4"/>
      <c r="AH15" s="15"/>
      <c r="AI15" s="50"/>
      <c r="AJ15" s="126"/>
    </row>
    <row r="16" spans="1:36" ht="18" customHeight="1" x14ac:dyDescent="0.2">
      <c r="A16" s="36"/>
      <c r="B16" s="11"/>
      <c r="C16" s="11"/>
      <c r="D16" s="484" t="s">
        <v>379</v>
      </c>
      <c r="E16" s="485"/>
      <c r="F16" s="485"/>
      <c r="G16" s="485"/>
      <c r="H16" s="485"/>
      <c r="I16" s="485"/>
      <c r="J16" s="485"/>
      <c r="K16" s="485"/>
      <c r="L16" s="486"/>
      <c r="M16" s="11"/>
      <c r="N16" s="487" t="str">
        <f>IF(Eingabe!$L$108="Ausgabe vg Lüftung",Eingabe!$AA$65,"siehe Ausgabe freie Lüftung!")</f>
        <v>siehe Ausgabe freie Lüftung!</v>
      </c>
      <c r="O16" s="488"/>
      <c r="P16" s="488"/>
      <c r="Q16" s="488"/>
      <c r="R16" s="488"/>
      <c r="S16" s="489"/>
      <c r="V16" s="131" t="s">
        <v>61</v>
      </c>
      <c r="W16" s="81">
        <f>Eingabe!W121</f>
        <v>0</v>
      </c>
      <c r="X16" s="126"/>
      <c r="Y16" s="131" t="s">
        <v>444</v>
      </c>
      <c r="Z16" s="126" t="str">
        <f>Eingabe!$N$70</f>
        <v>nein</v>
      </c>
      <c r="AA16" s="50"/>
      <c r="AB16" s="50"/>
      <c r="AD16" s="139"/>
      <c r="AE16" s="4"/>
      <c r="AF16" s="4"/>
      <c r="AG16" s="4"/>
      <c r="AH16" s="15"/>
      <c r="AI16" s="50"/>
      <c r="AJ16" s="126"/>
    </row>
    <row r="17" spans="1:36" ht="9.9499999999999993" customHeight="1" x14ac:dyDescent="0.2">
      <c r="A17" s="51"/>
      <c r="B17" s="50"/>
      <c r="C17" s="50"/>
      <c r="D17" s="50"/>
      <c r="E17" s="50"/>
      <c r="F17" s="50"/>
      <c r="G17" s="50"/>
      <c r="H17" s="50"/>
      <c r="I17" s="50"/>
      <c r="J17" s="50"/>
      <c r="K17" s="50"/>
      <c r="L17" s="50"/>
      <c r="M17" s="50"/>
      <c r="N17" s="50"/>
      <c r="O17" s="50"/>
      <c r="P17" s="50"/>
      <c r="Q17" s="50"/>
      <c r="R17" s="50"/>
      <c r="S17" s="52"/>
      <c r="V17" s="151" t="s">
        <v>374</v>
      </c>
      <c r="W17" s="50">
        <f>Eingabe!W122</f>
        <v>0</v>
      </c>
      <c r="X17" s="126"/>
      <c r="Y17" s="131"/>
      <c r="Z17" s="126"/>
      <c r="AA17" s="50"/>
      <c r="AB17" s="50"/>
      <c r="AD17" s="156" t="s">
        <v>355</v>
      </c>
      <c r="AE17" s="362" t="s">
        <v>68</v>
      </c>
      <c r="AF17" s="379"/>
      <c r="AG17" s="362" t="s">
        <v>69</v>
      </c>
      <c r="AH17" s="363"/>
      <c r="AI17" s="363"/>
      <c r="AJ17" s="364"/>
    </row>
    <row r="18" spans="1:36" ht="15" customHeight="1" x14ac:dyDescent="0.2">
      <c r="A18" s="51"/>
      <c r="B18" s="50"/>
      <c r="C18" s="50"/>
      <c r="D18" s="4"/>
      <c r="E18" s="78"/>
      <c r="F18" s="78"/>
      <c r="G18" s="85" t="s">
        <v>331</v>
      </c>
      <c r="H18" s="78"/>
      <c r="I18" s="85" t="s">
        <v>376</v>
      </c>
      <c r="J18" s="78"/>
      <c r="K18" s="86" t="s">
        <v>345</v>
      </c>
      <c r="L18" s="95" t="s">
        <v>380</v>
      </c>
      <c r="M18" s="87" t="s">
        <v>346</v>
      </c>
      <c r="N18" s="482" t="str">
        <f>IF(Eingabe!$L$108="Ausgabe vg Lüftung",IF(Eingabe!$Z$67="Zu-/Abluft-System","-",IF(AND(OR(Eingabe!$Z$67="Zuluftsystem",Eingabe!$Z$67="Abluftsystem"),$Z$15="mehrgeschossig verbunden"),$N$7-$AB$24,IF(AND(OR(Eingabe!$Z$67="Zuluftsystem",Eingabe!$Z$67="Abluftsystem"),$Z$16="ja"),$N$7-$Z$24,$N$7-$AA$24))),"-")</f>
        <v>-</v>
      </c>
      <c r="O18" s="483"/>
      <c r="P18" s="78"/>
      <c r="Q18" s="88" t="s">
        <v>330</v>
      </c>
      <c r="R18" s="50"/>
      <c r="S18" s="52"/>
      <c r="V18" s="139" t="s">
        <v>58</v>
      </c>
      <c r="W18" s="50">
        <f>Eingabe!W123</f>
        <v>0</v>
      </c>
      <c r="X18" s="126"/>
      <c r="Y18" s="131"/>
      <c r="Z18" s="126"/>
      <c r="AA18" s="50"/>
      <c r="AB18" s="50"/>
      <c r="AD18" s="156"/>
      <c r="AE18" s="24" t="s">
        <v>301</v>
      </c>
      <c r="AF18" s="24" t="s">
        <v>356</v>
      </c>
      <c r="AG18" s="24" t="s">
        <v>357</v>
      </c>
      <c r="AH18" s="374" t="s">
        <v>363</v>
      </c>
      <c r="AI18" s="374"/>
      <c r="AJ18" s="375"/>
    </row>
    <row r="19" spans="1:36" ht="9.9499999999999993" customHeight="1" x14ac:dyDescent="0.3">
      <c r="A19" s="51"/>
      <c r="B19" s="4"/>
      <c r="C19" s="4"/>
      <c r="D19" s="4"/>
      <c r="E19" s="78"/>
      <c r="F19" s="78"/>
      <c r="G19" s="78"/>
      <c r="H19" s="78"/>
      <c r="I19" s="85"/>
      <c r="J19" s="78"/>
      <c r="K19" s="78"/>
      <c r="L19" s="96"/>
      <c r="M19" s="78"/>
      <c r="N19" s="78"/>
      <c r="O19" s="78"/>
      <c r="P19" s="78"/>
      <c r="Q19" s="78"/>
      <c r="R19" s="50"/>
      <c r="S19" s="52"/>
      <c r="V19" s="131" t="s">
        <v>353</v>
      </c>
      <c r="W19" s="50">
        <f>Eingabe!W124</f>
        <v>0</v>
      </c>
      <c r="X19" s="126"/>
      <c r="Y19" s="131"/>
      <c r="Z19" s="126"/>
      <c r="AA19" s="50"/>
      <c r="AB19" s="50"/>
      <c r="AD19" s="376" t="s">
        <v>364</v>
      </c>
      <c r="AE19" s="374" t="s">
        <v>365</v>
      </c>
      <c r="AF19" s="374"/>
      <c r="AG19" s="374"/>
      <c r="AH19" s="374" t="s">
        <v>361</v>
      </c>
      <c r="AI19" s="374"/>
      <c r="AJ19" s="378" t="s">
        <v>362</v>
      </c>
    </row>
    <row r="20" spans="1:36" ht="15" customHeight="1" thickBot="1" x14ac:dyDescent="0.25">
      <c r="A20" s="51"/>
      <c r="B20" s="4"/>
      <c r="C20" s="4"/>
      <c r="D20" s="33"/>
      <c r="E20" s="78"/>
      <c r="F20" s="78"/>
      <c r="G20" s="78"/>
      <c r="H20" s="78"/>
      <c r="I20" s="85" t="s">
        <v>375</v>
      </c>
      <c r="J20" s="78"/>
      <c r="K20" s="86" t="s">
        <v>345</v>
      </c>
      <c r="L20" s="95" t="s">
        <v>380</v>
      </c>
      <c r="M20" s="78" t="s">
        <v>346</v>
      </c>
      <c r="N20" s="482" t="str">
        <f>IF(Eingabe!$L$108="Ausgabe vg Lüftung",IF(Eingabe!$Z$67="Zu-/Abluft-System",$N$7-$Y$25,IF(AND(OR(Eingabe!$Z$67="Zuluftsystem",Eingabe!$Z$67="Abluftsystem"),$Z$15="mehrgeschossig verbunden"),$N$7-$AB$25,IF(AND(OR(Eingabe!$Z$67="Zuluftsystem",Eingabe!$Z$67="Abluftsystem"),$Z$16="ja"),$N$7-$Z$25,$N$7-$AA$25))),"-")</f>
        <v>-</v>
      </c>
      <c r="O20" s="483"/>
      <c r="P20" s="78"/>
      <c r="Q20" s="88" t="s">
        <v>330</v>
      </c>
      <c r="R20" s="50"/>
      <c r="S20" s="52"/>
      <c r="V20" s="131" t="s">
        <v>410</v>
      </c>
      <c r="W20" s="50">
        <f>Eingabe!W125</f>
        <v>0</v>
      </c>
      <c r="X20" s="126"/>
      <c r="Y20" s="133"/>
      <c r="Z20" s="130"/>
      <c r="AA20" s="50"/>
      <c r="AB20" s="50"/>
      <c r="AD20" s="377"/>
      <c r="AE20" s="374"/>
      <c r="AF20" s="374"/>
      <c r="AG20" s="374"/>
      <c r="AH20" s="24" t="s">
        <v>358</v>
      </c>
      <c r="AI20" s="75" t="s">
        <v>359</v>
      </c>
      <c r="AJ20" s="378"/>
    </row>
    <row r="21" spans="1:36" ht="9.9499999999999993" customHeight="1" thickBot="1" x14ac:dyDescent="0.25">
      <c r="A21" s="51"/>
      <c r="B21" s="4"/>
      <c r="C21" s="4"/>
      <c r="D21" s="4"/>
      <c r="E21" s="78"/>
      <c r="F21" s="78"/>
      <c r="G21" s="78"/>
      <c r="H21" s="78"/>
      <c r="I21" s="85"/>
      <c r="J21" s="78"/>
      <c r="K21" s="78"/>
      <c r="L21" s="96"/>
      <c r="M21" s="78"/>
      <c r="N21" s="78"/>
      <c r="O21" s="78"/>
      <c r="P21" s="78"/>
      <c r="Q21" s="78"/>
      <c r="R21" s="50"/>
      <c r="S21" s="52"/>
      <c r="V21" s="151" t="s">
        <v>371</v>
      </c>
      <c r="W21" s="78">
        <f>Eingabe!W126</f>
        <v>0</v>
      </c>
      <c r="X21" s="78">
        <f>Eingabe!X126</f>
        <v>0</v>
      </c>
      <c r="Y21" s="205">
        <f>Eingabe!Y126</f>
        <v>0</v>
      </c>
      <c r="Z21" s="205">
        <f>Eingabe!Z126</f>
        <v>0</v>
      </c>
      <c r="AA21" s="205">
        <f>Eingabe!AA126</f>
        <v>0</v>
      </c>
      <c r="AB21" s="206">
        <f>Eingabe!AB126</f>
        <v>0</v>
      </c>
      <c r="AD21" s="377"/>
      <c r="AE21" s="374"/>
      <c r="AF21" s="374"/>
      <c r="AG21" s="374"/>
      <c r="AH21" s="374" t="s">
        <v>360</v>
      </c>
      <c r="AI21" s="374"/>
      <c r="AJ21" s="378"/>
    </row>
    <row r="22" spans="1:36" ht="15" customHeight="1" x14ac:dyDescent="0.2">
      <c r="A22" s="51"/>
      <c r="B22" s="4"/>
      <c r="C22" s="4"/>
      <c r="D22" s="33"/>
      <c r="E22" s="78"/>
      <c r="F22" s="78"/>
      <c r="G22" s="78"/>
      <c r="H22" s="78"/>
      <c r="I22" s="85" t="s">
        <v>377</v>
      </c>
      <c r="J22" s="78"/>
      <c r="K22" s="86" t="s">
        <v>345</v>
      </c>
      <c r="L22" s="95" t="s">
        <v>380</v>
      </c>
      <c r="M22" s="78" t="s">
        <v>346</v>
      </c>
      <c r="N22" s="482" t="str">
        <f>IF(Eingabe!$L$108="Ausgabe vg Lüftung",IF(OR(Eingabe!$Z$67="Zu-/Abluft-System",Eingabe!$Z$67="Abluftsystem"),"-",IF(AND(Eingabe!$Z$67="Zuluftsystem",$Z$16="ja"),$N$7-$X$26,"-")),"-")</f>
        <v>-</v>
      </c>
      <c r="O22" s="483"/>
      <c r="P22" s="78"/>
      <c r="Q22" s="88" t="s">
        <v>330</v>
      </c>
      <c r="R22" s="50"/>
      <c r="S22" s="52"/>
      <c r="V22" s="120"/>
      <c r="W22" s="205" t="s">
        <v>372</v>
      </c>
      <c r="X22" s="135" t="s">
        <v>373</v>
      </c>
      <c r="Y22" s="205" t="s">
        <v>357</v>
      </c>
      <c r="Z22" s="355" t="s">
        <v>437</v>
      </c>
      <c r="AA22" s="355"/>
      <c r="AB22" s="294" t="s">
        <v>464</v>
      </c>
      <c r="AC22" s="73"/>
      <c r="AD22" s="156" t="s">
        <v>366</v>
      </c>
      <c r="AE22" s="76">
        <v>0.5</v>
      </c>
      <c r="AF22" s="48">
        <v>0.6</v>
      </c>
      <c r="AG22" s="77" t="s">
        <v>37</v>
      </c>
      <c r="AH22" s="48">
        <v>0.65</v>
      </c>
      <c r="AI22" s="48">
        <v>0.7</v>
      </c>
      <c r="AJ22" s="157">
        <v>0.8</v>
      </c>
    </row>
    <row r="23" spans="1:36" ht="9.9499999999999993" customHeight="1" x14ac:dyDescent="0.2">
      <c r="A23" s="37"/>
      <c r="B23" s="4"/>
      <c r="C23" s="4"/>
      <c r="D23" s="4"/>
      <c r="E23" s="78"/>
      <c r="F23" s="78"/>
      <c r="G23" s="211"/>
      <c r="H23" s="211"/>
      <c r="I23" s="211"/>
      <c r="J23" s="211"/>
      <c r="K23" s="211"/>
      <c r="L23" s="96"/>
      <c r="M23" s="78"/>
      <c r="N23" s="78"/>
      <c r="O23" s="78"/>
      <c r="P23" s="78"/>
      <c r="Q23" s="211"/>
      <c r="R23" s="39"/>
      <c r="S23" s="15"/>
      <c r="V23" s="131"/>
      <c r="W23" s="78"/>
      <c r="X23" s="4"/>
      <c r="Y23" s="78"/>
      <c r="Z23" s="24" t="s">
        <v>438</v>
      </c>
      <c r="AA23" s="75" t="s">
        <v>439</v>
      </c>
      <c r="AB23" s="126"/>
      <c r="AD23" s="156" t="s">
        <v>367</v>
      </c>
      <c r="AE23" s="350">
        <v>0.15</v>
      </c>
      <c r="AF23" s="351"/>
      <c r="AG23" s="48">
        <v>0.45</v>
      </c>
      <c r="AH23" s="362">
        <v>0.15</v>
      </c>
      <c r="AI23" s="363"/>
      <c r="AJ23" s="364"/>
    </row>
    <row r="24" spans="1:36" ht="15" customHeight="1" x14ac:dyDescent="0.2">
      <c r="A24" s="51"/>
      <c r="B24" s="4"/>
      <c r="C24" s="4"/>
      <c r="D24" s="33"/>
      <c r="E24" s="78"/>
      <c r="F24" s="78"/>
      <c r="G24" s="78"/>
      <c r="H24" s="78"/>
      <c r="I24" s="85" t="s">
        <v>440</v>
      </c>
      <c r="J24" s="78"/>
      <c r="K24" s="86" t="s">
        <v>345</v>
      </c>
      <c r="L24" s="95" t="s">
        <v>380</v>
      </c>
      <c r="M24" s="78" t="s">
        <v>346</v>
      </c>
      <c r="N24" s="482" t="str">
        <f>IF(Eingabe!$L$108="Ausgabe vg Lüftung",IF(Eingabe!$Z$67="Zu-/Abluft-System",$N$7-$Y$27,IF(AND(OR(Eingabe!$Z$67="Zuluftsystem",Eingabe!$Z$67="Abluftsystem"),$Z$15="mehrgeschossig verbunden"),$N$7-$AB$27,IF(AND(OR(Eingabe!$Z$67="Zuluftsystem",Eingabe!$Z$67="Abluftsystem"),$Z$16="ja"),$N$7-$Z$27,$N$7-$AA$27))),"-")</f>
        <v>-</v>
      </c>
      <c r="O24" s="483"/>
      <c r="P24" s="78"/>
      <c r="Q24" s="88" t="s">
        <v>330</v>
      </c>
      <c r="R24" s="50"/>
      <c r="S24" s="52"/>
      <c r="V24" s="289" t="s">
        <v>366</v>
      </c>
      <c r="W24" s="287" t="e">
        <f>AE22*$W$19*$W$15*($W$20*W$21/50)^$W$16</f>
        <v>#NUM!</v>
      </c>
      <c r="X24" s="287" t="e">
        <f>AF22*$W$19*$W$15*($W$20*X$21/50)^$W$16</f>
        <v>#NUM!</v>
      </c>
      <c r="Y24" s="287" t="s">
        <v>37</v>
      </c>
      <c r="Z24" s="287" t="e">
        <f>AH22*$W$19*$W$15*($W$20*Z$21/50)^$W$16</f>
        <v>#NUM!</v>
      </c>
      <c r="AA24" s="287" t="e">
        <f>AI22*$W$19*$W$15*($W$20*AA$21/50)^$W$16</f>
        <v>#NUM!</v>
      </c>
      <c r="AB24" s="290" t="e">
        <f>AJ22*$W$19*$W$15*($W$20*AB$21/50)^$W$16</f>
        <v>#NUM!</v>
      </c>
      <c r="AD24" s="156" t="s">
        <v>368</v>
      </c>
      <c r="AE24" s="77" t="s">
        <v>37</v>
      </c>
      <c r="AF24" s="48">
        <v>0.35</v>
      </c>
      <c r="AG24" s="48"/>
      <c r="AH24" s="367" t="s">
        <v>37</v>
      </c>
      <c r="AI24" s="363"/>
      <c r="AJ24" s="364"/>
    </row>
    <row r="25" spans="1:36" ht="9.9499999999999993" customHeight="1" thickBot="1" x14ac:dyDescent="0.25">
      <c r="A25" s="37"/>
      <c r="B25" s="4"/>
      <c r="C25" s="4"/>
      <c r="D25" s="4"/>
      <c r="E25" s="4"/>
      <c r="F25" s="4"/>
      <c r="G25" s="39"/>
      <c r="H25" s="39"/>
      <c r="I25" s="39"/>
      <c r="J25" s="39"/>
      <c r="K25" s="39"/>
      <c r="L25" s="89"/>
      <c r="M25" s="4"/>
      <c r="N25" s="4"/>
      <c r="O25" s="4"/>
      <c r="P25" s="4"/>
      <c r="Q25" s="39"/>
      <c r="R25" s="39"/>
      <c r="S25" s="15"/>
      <c r="V25" s="289" t="s">
        <v>367</v>
      </c>
      <c r="W25" s="287" t="e">
        <f>AE23*$W$19*$W$15*($W$20*W$21/50)^$W$16</f>
        <v>#NUM!</v>
      </c>
      <c r="X25" s="287" t="e">
        <f>AE23*$W$19*$W$15*($W$20*X$21/50)^$W$16</f>
        <v>#NUM!</v>
      </c>
      <c r="Y25" s="287" t="e">
        <f>AG23*$W$19*$W$15*($W$20*Y$21/50)^$W$16</f>
        <v>#NUM!</v>
      </c>
      <c r="Z25" s="287" t="e">
        <f>AH23*$W$19*$W$15*($W$20*Z$21/50)^$W$16</f>
        <v>#NUM!</v>
      </c>
      <c r="AA25" s="287" t="e">
        <f>AH23*$W$19*$W$15*($W$20*AA$21/50)^$W$16</f>
        <v>#NUM!</v>
      </c>
      <c r="AB25" s="290" t="e">
        <f>AH23*$W$19*$W$15*($W$20*AB$21/50)^$W$16</f>
        <v>#NUM!</v>
      </c>
      <c r="AD25" s="158" t="s">
        <v>369</v>
      </c>
      <c r="AE25" s="159" t="s">
        <v>37</v>
      </c>
      <c r="AF25" s="159" t="s">
        <v>37</v>
      </c>
      <c r="AG25" s="160">
        <v>0.45</v>
      </c>
      <c r="AH25" s="161">
        <v>0.15</v>
      </c>
      <c r="AI25" s="365">
        <v>0.2</v>
      </c>
      <c r="AJ25" s="366"/>
    </row>
    <row r="26" spans="1:36" ht="15" customHeight="1" x14ac:dyDescent="0.2">
      <c r="A26" s="9"/>
      <c r="B26" s="50"/>
      <c r="C26" s="50"/>
      <c r="D26" s="4"/>
      <c r="E26" s="4"/>
      <c r="F26" s="4"/>
      <c r="G26" s="82" t="s">
        <v>332</v>
      </c>
      <c r="H26" s="33"/>
      <c r="I26" s="82" t="s">
        <v>376</v>
      </c>
      <c r="J26" s="4"/>
      <c r="K26" s="61" t="s">
        <v>345</v>
      </c>
      <c r="L26" s="94" t="s">
        <v>381</v>
      </c>
      <c r="M26" s="83" t="s">
        <v>346</v>
      </c>
      <c r="N26" s="480" t="str">
        <f>IF(Eingabe!$L$108="Ausgabe vg Lüftung",IF(Eingabe!$Z$67="Zu-/Abluft-System","-",IF(AND(OR(Eingabe!$Z$67="Zuluftsystem",Eingabe!$Z$67="Abluftsystem"),$Z$15="mehrgeschossig verbunden"),$N$9-$AB$24,IF(AND(OR(Eingabe!$Z$67="Zuluftsystem",Eingabe!$Z$67="Abluftsystem"),$Z$16="ja"),$N$9-$Z$24,$N$9-$AA$24))),"-")</f>
        <v>-</v>
      </c>
      <c r="O26" s="481"/>
      <c r="P26" s="4"/>
      <c r="Q26" s="84" t="s">
        <v>330</v>
      </c>
      <c r="R26" s="50"/>
      <c r="S26" s="52"/>
      <c r="V26" s="289" t="s">
        <v>368</v>
      </c>
      <c r="W26" s="288"/>
      <c r="X26" s="287" t="e">
        <f>AF24*$W$19*$W$15*($W$20*X$21/50)^$W$16</f>
        <v>#NUM!</v>
      </c>
      <c r="Y26" s="287" t="s">
        <v>37</v>
      </c>
      <c r="Z26" s="287" t="str">
        <f>IF(Eingabe!$Z$67="Zuluftsystem",0.35,"-")</f>
        <v>-</v>
      </c>
      <c r="AA26" s="287" t="str">
        <f>IF(Eingabe!$Z$67="Zuluftsystem",0.35,"-")</f>
        <v>-</v>
      </c>
      <c r="AB26" s="290" t="str">
        <f>IF(Eingabe!$Z$67="Zuluftsystem",0.35,"-")</f>
        <v>-</v>
      </c>
      <c r="AD26" s="4"/>
      <c r="AE26" s="46"/>
      <c r="AF26" s="46"/>
      <c r="AG26" s="46"/>
      <c r="AH26" s="46"/>
      <c r="AI26" s="50"/>
    </row>
    <row r="27" spans="1:36" ht="9.9499999999999993" customHeight="1" thickBot="1" x14ac:dyDescent="0.25">
      <c r="A27" s="51"/>
      <c r="B27" s="4"/>
      <c r="C27" s="4"/>
      <c r="D27" s="4"/>
      <c r="E27" s="4"/>
      <c r="F27" s="4"/>
      <c r="G27" s="4"/>
      <c r="H27" s="4"/>
      <c r="I27" s="82"/>
      <c r="J27" s="4"/>
      <c r="K27" s="4"/>
      <c r="L27" s="89"/>
      <c r="M27" s="4"/>
      <c r="N27" s="78"/>
      <c r="O27" s="78"/>
      <c r="P27" s="4"/>
      <c r="Q27" s="4"/>
      <c r="R27" s="50"/>
      <c r="S27" s="52"/>
      <c r="V27" s="291" t="s">
        <v>369</v>
      </c>
      <c r="W27" s="173"/>
      <c r="X27" s="173"/>
      <c r="Y27" s="292" t="e">
        <f>AG25*$W$19*$W$15*($W$20*Y$21/50)^$W$16</f>
        <v>#NUM!</v>
      </c>
      <c r="Z27" s="292" t="e">
        <f>AH25*$W$19*$W$15*($W$20*Z$21/50)^$W$16</f>
        <v>#NUM!</v>
      </c>
      <c r="AA27" s="292" t="e">
        <f>AI25*$W$19*$W$15*($W$20*AA$21/50)^$W$16</f>
        <v>#NUM!</v>
      </c>
      <c r="AB27" s="293" t="e">
        <f>AI25*$W$19*$W$15*($W$20*AB$21/50)^$W$16</f>
        <v>#NUM!</v>
      </c>
      <c r="AD27" s="4"/>
      <c r="AE27" s="4"/>
      <c r="AF27" s="4"/>
      <c r="AG27" s="4"/>
      <c r="AH27" s="46"/>
      <c r="AI27" s="50"/>
    </row>
    <row r="28" spans="1:36" ht="15" customHeight="1" x14ac:dyDescent="0.2">
      <c r="A28" s="51"/>
      <c r="B28" s="4"/>
      <c r="C28" s="4"/>
      <c r="D28" s="33"/>
      <c r="E28" s="33"/>
      <c r="F28" s="33"/>
      <c r="G28" s="33"/>
      <c r="H28" s="33"/>
      <c r="I28" s="82" t="s">
        <v>375</v>
      </c>
      <c r="J28" s="4"/>
      <c r="K28" s="61" t="s">
        <v>345</v>
      </c>
      <c r="L28" s="94" t="s">
        <v>381</v>
      </c>
      <c r="M28" s="4" t="s">
        <v>346</v>
      </c>
      <c r="N28" s="480" t="str">
        <f>IF(Eingabe!$L$108="Ausgabe vg Lüftung",IF(Eingabe!$Z$67="Zu-/Abluft-System",$N$9-$Y$25,IF(AND(OR(Eingabe!$Z$67="Zuluftsystem",Eingabe!$Z$67="Abluftsystem"),$Z$15="mehrgeschossig verbunden"),$N$9-$AB$25,IF(AND(OR(Eingabe!$Z$67="Zuluftsystem",Eingabe!$Z$67="Abluftsystem"),$Z$16="ja"),$N$9-$Z$25,$N$9-$AA$25))),"-")</f>
        <v>-</v>
      </c>
      <c r="O28" s="481"/>
      <c r="P28" s="4"/>
      <c r="Q28" s="84" t="s">
        <v>330</v>
      </c>
      <c r="R28" s="50"/>
      <c r="S28" s="52"/>
      <c r="V28" s="50"/>
      <c r="W28" s="4"/>
      <c r="X28" s="45"/>
      <c r="Y28" s="4"/>
      <c r="Z28" s="4"/>
      <c r="AD28" s="4"/>
      <c r="AE28" s="4"/>
      <c r="AF28" s="4"/>
      <c r="AG28" s="4"/>
      <c r="AH28" s="4"/>
      <c r="AI28" s="50"/>
    </row>
    <row r="29" spans="1:36" ht="9.9499999999999993" customHeight="1" x14ac:dyDescent="0.2">
      <c r="A29" s="51"/>
      <c r="B29" s="4"/>
      <c r="C29" s="4"/>
      <c r="D29" s="4"/>
      <c r="E29" s="4"/>
      <c r="F29" s="4"/>
      <c r="G29" s="4"/>
      <c r="H29" s="4"/>
      <c r="I29" s="82"/>
      <c r="J29" s="4"/>
      <c r="K29" s="4"/>
      <c r="L29" s="89"/>
      <c r="M29" s="4"/>
      <c r="N29" s="78"/>
      <c r="O29" s="78"/>
      <c r="P29" s="4"/>
      <c r="Q29" s="4"/>
      <c r="R29" s="50"/>
      <c r="S29" s="52"/>
      <c r="V29" s="50"/>
      <c r="W29" s="4"/>
      <c r="X29" s="4"/>
      <c r="Y29" s="4"/>
      <c r="Z29" s="4"/>
      <c r="AD29" s="4"/>
      <c r="AE29" s="4"/>
      <c r="AF29" s="4"/>
      <c r="AG29" s="4"/>
      <c r="AH29" s="14"/>
      <c r="AI29" s="50"/>
    </row>
    <row r="30" spans="1:36" ht="15" customHeight="1" x14ac:dyDescent="0.2">
      <c r="A30" s="51"/>
      <c r="B30" s="4"/>
      <c r="C30" s="4"/>
      <c r="D30" s="33"/>
      <c r="E30" s="33"/>
      <c r="F30" s="33"/>
      <c r="G30" s="33"/>
      <c r="H30" s="33"/>
      <c r="I30" s="82" t="s">
        <v>377</v>
      </c>
      <c r="J30" s="4"/>
      <c r="K30" s="61" t="s">
        <v>345</v>
      </c>
      <c r="L30" s="94" t="s">
        <v>381</v>
      </c>
      <c r="M30" s="4" t="s">
        <v>346</v>
      </c>
      <c r="N30" s="482" t="str">
        <f>IF(Eingabe!$L$108="Ausgabe vg Lüftung",IF(OR(Eingabe!$Z$67="Zu-/Abluft-System",Eingabe!$Z$67="Abluftsystem"),"-",IF(AND(Eingabe!$Z$67="Zuluftsystem",$Z$16="ja"),$N$9-$X$26,"-")),"-")</f>
        <v>-</v>
      </c>
      <c r="O30" s="483"/>
      <c r="P30" s="4"/>
      <c r="Q30" s="84" t="s">
        <v>330</v>
      </c>
      <c r="R30" s="50"/>
      <c r="S30" s="52"/>
      <c r="V30" s="50"/>
      <c r="W30" s="4"/>
      <c r="X30" s="4"/>
      <c r="Y30" s="4"/>
      <c r="Z30" s="4"/>
      <c r="AD30" s="4"/>
      <c r="AE30" s="4"/>
      <c r="AF30" s="4"/>
      <c r="AG30" s="74"/>
      <c r="AH30" s="4"/>
      <c r="AI30" s="50"/>
    </row>
    <row r="31" spans="1:36" ht="9.9499999999999993" customHeight="1" x14ac:dyDescent="0.2">
      <c r="A31" s="51"/>
      <c r="B31" s="4"/>
      <c r="C31" s="4"/>
      <c r="D31" s="4"/>
      <c r="E31" s="4"/>
      <c r="F31" s="4"/>
      <c r="G31" s="4"/>
      <c r="H31" s="4"/>
      <c r="I31" s="4"/>
      <c r="J31" s="4"/>
      <c r="K31" s="4"/>
      <c r="L31" s="89"/>
      <c r="M31" s="4"/>
      <c r="N31" s="78"/>
      <c r="O31" s="78"/>
      <c r="P31" s="4"/>
      <c r="Q31" s="4"/>
      <c r="R31" s="50"/>
      <c r="S31" s="52"/>
      <c r="V31" s="50"/>
      <c r="W31" s="4"/>
      <c r="X31" s="4"/>
      <c r="Y31" s="4"/>
      <c r="Z31" s="4"/>
      <c r="AD31" s="4"/>
      <c r="AE31" s="4"/>
      <c r="AF31" s="4"/>
      <c r="AG31" s="74"/>
      <c r="AH31" s="74"/>
      <c r="AI31" s="50"/>
    </row>
    <row r="32" spans="1:36" ht="15" customHeight="1" x14ac:dyDescent="0.2">
      <c r="A32" s="51"/>
      <c r="B32" s="4"/>
      <c r="C32" s="4"/>
      <c r="D32" s="33"/>
      <c r="E32" s="33"/>
      <c r="F32" s="33"/>
      <c r="G32" s="33"/>
      <c r="H32" s="33"/>
      <c r="I32" s="82" t="s">
        <v>440</v>
      </c>
      <c r="J32" s="4"/>
      <c r="K32" s="61" t="s">
        <v>345</v>
      </c>
      <c r="L32" s="94" t="s">
        <v>381</v>
      </c>
      <c r="M32" s="4" t="s">
        <v>346</v>
      </c>
      <c r="N32" s="480" t="str">
        <f>IF(Eingabe!$L$108="Ausgabe vg Lüftung",IF(Eingabe!$Z$67="Zu-/Abluft-System",$N$9-$Y$27,IF(AND(OR(Eingabe!$Z$67="Zuluftsystem",Eingabe!$Z$67="Abluftsystem"),$Z$15="mehrgeschossig verbunden"),$N$9-$AB$27,IF(AND(OR(Eingabe!$Z$67="Zuluftsystem",Eingabe!$Z$67="Abluftsystem"),$Z$16="ja"),$N$9-$Z$27,$N$9-$AA$27))),"-")</f>
        <v>-</v>
      </c>
      <c r="O32" s="481"/>
      <c r="P32" s="4"/>
      <c r="Q32" s="84" t="s">
        <v>330</v>
      </c>
      <c r="R32" s="50"/>
      <c r="S32" s="52"/>
      <c r="AD32" s="4"/>
      <c r="AE32" s="4"/>
      <c r="AF32" s="4"/>
      <c r="AG32" s="74"/>
      <c r="AH32" s="74"/>
      <c r="AI32" s="50"/>
    </row>
    <row r="33" spans="1:35" ht="9.9499999999999993" customHeight="1" x14ac:dyDescent="0.2">
      <c r="A33" s="37"/>
      <c r="B33" s="4"/>
      <c r="C33" s="4"/>
      <c r="D33" s="4"/>
      <c r="E33" s="4"/>
      <c r="F33" s="4"/>
      <c r="G33" s="39"/>
      <c r="H33" s="39"/>
      <c r="I33" s="39"/>
      <c r="J33" s="39"/>
      <c r="K33" s="39"/>
      <c r="L33" s="89"/>
      <c r="M33" s="4"/>
      <c r="N33" s="4"/>
      <c r="O33" s="4"/>
      <c r="P33" s="4"/>
      <c r="Q33" s="39"/>
      <c r="R33" s="39"/>
      <c r="S33" s="15"/>
      <c r="AD33" s="4"/>
      <c r="AE33" s="4"/>
      <c r="AF33" s="4"/>
      <c r="AG33" s="74"/>
      <c r="AH33" s="74"/>
      <c r="AI33" s="50"/>
    </row>
    <row r="34" spans="1:35" ht="15" customHeight="1" x14ac:dyDescent="0.2">
      <c r="A34" s="51"/>
      <c r="B34" s="50"/>
      <c r="C34" s="50"/>
      <c r="D34" s="4"/>
      <c r="E34" s="4"/>
      <c r="F34" s="4"/>
      <c r="G34" s="85" t="s">
        <v>435</v>
      </c>
      <c r="H34" s="78"/>
      <c r="I34" s="85" t="s">
        <v>376</v>
      </c>
      <c r="J34" s="78"/>
      <c r="K34" s="86" t="s">
        <v>345</v>
      </c>
      <c r="L34" s="95" t="s">
        <v>442</v>
      </c>
      <c r="M34" s="87" t="s">
        <v>346</v>
      </c>
      <c r="N34" s="482" t="str">
        <f>IF(Eingabe!$L$108="Ausgabe vg Lüftung",IF(Eingabe!$Z$67="Zu-/Abluft-System","-",IF(AND(OR(Eingabe!$Z$67="Zuluftsystem",Eingabe!$Z$67="Abluftsystem"),$Z$15="mehrgeschossig verbunden"),$N$11-$AB$24,IF(AND(OR(Eingabe!$Z$67="Zuluftsystem",Eingabe!$Z$67="Abluftsystem"),$Z$16="ja"),$N$11-$Z$24,$N$11-$AA$24))),"-")</f>
        <v>-</v>
      </c>
      <c r="O34" s="483"/>
      <c r="P34" s="78"/>
      <c r="Q34" s="88" t="s">
        <v>330</v>
      </c>
      <c r="R34" s="50"/>
      <c r="S34" s="52"/>
      <c r="AD34" s="4"/>
      <c r="AE34" s="4"/>
      <c r="AF34" s="4"/>
      <c r="AG34" s="74"/>
      <c r="AH34" s="74"/>
      <c r="AI34" s="50"/>
    </row>
    <row r="35" spans="1:35" ht="9.9499999999999993" customHeight="1" x14ac:dyDescent="0.2">
      <c r="A35" s="51"/>
      <c r="B35" s="4"/>
      <c r="C35" s="4"/>
      <c r="D35" s="4"/>
      <c r="E35" s="4"/>
      <c r="F35" s="4"/>
      <c r="G35" s="78"/>
      <c r="H35" s="78"/>
      <c r="I35" s="85"/>
      <c r="J35" s="78"/>
      <c r="K35" s="78"/>
      <c r="L35" s="96"/>
      <c r="M35" s="78"/>
      <c r="N35" s="78"/>
      <c r="O35" s="78"/>
      <c r="P35" s="78"/>
      <c r="Q35" s="78"/>
      <c r="R35" s="50"/>
      <c r="S35" s="52"/>
    </row>
    <row r="36" spans="1:35" ht="15" customHeight="1" x14ac:dyDescent="0.2">
      <c r="A36" s="51"/>
      <c r="B36" s="4"/>
      <c r="C36" s="4"/>
      <c r="D36" s="33"/>
      <c r="E36" s="33"/>
      <c r="F36" s="33"/>
      <c r="G36" s="78"/>
      <c r="H36" s="78"/>
      <c r="I36" s="85" t="s">
        <v>375</v>
      </c>
      <c r="J36" s="78"/>
      <c r="K36" s="86" t="s">
        <v>345</v>
      </c>
      <c r="L36" s="95" t="s">
        <v>442</v>
      </c>
      <c r="M36" s="78" t="s">
        <v>346</v>
      </c>
      <c r="N36" s="482" t="str">
        <f>IF(Eingabe!$L$108="Ausgabe vg Lüftung",IF(Eingabe!$Z$67="Zu-/Abluft-System",$N$11-$Y$25,IF(AND(OR(Eingabe!$Z$67="Zuluftsystem",Eingabe!$Z$67="Abluftsystem"),$Z$15="mehrgeschossig verbunden"),$N$11-$AB$25,IF(AND(OR(Eingabe!$Z$67="Zuluftsystem",Eingabe!$Z$67="Abluftsystem"),$Z$16="ja"),$N$11-$Z$25,$N$11-$AA$25))),"-")</f>
        <v>-</v>
      </c>
      <c r="O36" s="483"/>
      <c r="P36" s="78"/>
      <c r="Q36" s="88" t="s">
        <v>330</v>
      </c>
      <c r="R36" s="50"/>
      <c r="S36" s="52"/>
    </row>
    <row r="37" spans="1:35" ht="9.9499999999999993" customHeight="1" x14ac:dyDescent="0.2">
      <c r="A37" s="51"/>
      <c r="B37" s="4"/>
      <c r="C37" s="4"/>
      <c r="D37" s="4"/>
      <c r="E37" s="4"/>
      <c r="F37" s="4"/>
      <c r="G37" s="78"/>
      <c r="H37" s="78"/>
      <c r="I37" s="85"/>
      <c r="J37" s="78"/>
      <c r="K37" s="78"/>
      <c r="L37" s="96"/>
      <c r="M37" s="78"/>
      <c r="N37" s="78"/>
      <c r="O37" s="78"/>
      <c r="P37" s="78"/>
      <c r="Q37" s="78"/>
      <c r="R37" s="50"/>
      <c r="S37" s="52"/>
      <c r="V37" s="50"/>
    </row>
    <row r="38" spans="1:35" ht="15" customHeight="1" x14ac:dyDescent="0.2">
      <c r="A38" s="51"/>
      <c r="B38" s="4"/>
      <c r="C38" s="4"/>
      <c r="D38" s="33"/>
      <c r="E38" s="33"/>
      <c r="F38" s="33"/>
      <c r="G38" s="78"/>
      <c r="H38" s="78"/>
      <c r="I38" s="85" t="s">
        <v>377</v>
      </c>
      <c r="J38" s="78"/>
      <c r="K38" s="86" t="s">
        <v>345</v>
      </c>
      <c r="L38" s="95" t="s">
        <v>442</v>
      </c>
      <c r="M38" s="78" t="s">
        <v>346</v>
      </c>
      <c r="N38" s="482" t="str">
        <f>IF(Eingabe!$L$108="Ausgabe vg Lüftung",IF(OR(Eingabe!$Z$67="Zu-/Abluft-System",Eingabe!$Z$67="Abluftsystem"),"-",IF(AND(Eingabe!$Z$67="Zuluftsystem",$Z$16="ja"),$N$11-$X$26,"-")),"-")</f>
        <v>-</v>
      </c>
      <c r="O38" s="483"/>
      <c r="P38" s="78"/>
      <c r="Q38" s="88" t="s">
        <v>330</v>
      </c>
      <c r="R38" s="50"/>
      <c r="S38" s="52"/>
      <c r="V38" s="50"/>
    </row>
    <row r="39" spans="1:35" ht="9.9499999999999993" customHeight="1" x14ac:dyDescent="0.2">
      <c r="A39" s="37"/>
      <c r="B39" s="4"/>
      <c r="C39" s="4"/>
      <c r="D39" s="4"/>
      <c r="E39" s="4"/>
      <c r="F39" s="4"/>
      <c r="G39" s="39"/>
      <c r="H39" s="39"/>
      <c r="I39" s="39"/>
      <c r="J39" s="39"/>
      <c r="K39" s="39"/>
      <c r="L39" s="89"/>
      <c r="M39" s="4"/>
      <c r="N39" s="78"/>
      <c r="O39" s="78"/>
      <c r="P39" s="4"/>
      <c r="Q39" s="39"/>
      <c r="R39" s="39"/>
      <c r="S39" s="15"/>
      <c r="V39" s="50"/>
    </row>
    <row r="40" spans="1:35" ht="15" customHeight="1" x14ac:dyDescent="0.2">
      <c r="A40" s="51"/>
      <c r="B40" s="4"/>
      <c r="C40" s="4"/>
      <c r="D40" s="33"/>
      <c r="E40" s="33"/>
      <c r="F40" s="33"/>
      <c r="G40" s="33"/>
      <c r="H40" s="33"/>
      <c r="I40" s="85" t="s">
        <v>440</v>
      </c>
      <c r="J40" s="78"/>
      <c r="K40" s="86" t="s">
        <v>345</v>
      </c>
      <c r="L40" s="95" t="s">
        <v>442</v>
      </c>
      <c r="M40" s="78" t="s">
        <v>346</v>
      </c>
      <c r="N40" s="482" t="str">
        <f>IF(Eingabe!$L$108="Ausgabe vg Lüftung",IF(Eingabe!$Z$67="Zu-/Abluft-System",$N$11-$Y$27,IF(AND(OR(Eingabe!$Z$67="Zuluftsystem",Eingabe!$Z$67="Abluftsystem"),$Z$15="mehrgeschossig verbunden"),$N$11-$AB$27,IF(AND(OR(Eingabe!$Z$67="Zuluftsystem",Eingabe!$Z$67="Abluftsystem"),$Z$16="ja"),$N$11-$Z$27,$N$11-$AA$27))),"-")</f>
        <v>-</v>
      </c>
      <c r="O40" s="483"/>
      <c r="P40" s="78"/>
      <c r="Q40" s="88" t="s">
        <v>330</v>
      </c>
      <c r="R40" s="50"/>
      <c r="S40" s="52"/>
      <c r="V40" s="50"/>
    </row>
    <row r="41" spans="1:35" ht="9.9499999999999993" customHeight="1" x14ac:dyDescent="0.2">
      <c r="A41" s="53"/>
      <c r="B41" s="54"/>
      <c r="C41" s="54"/>
      <c r="D41" s="54"/>
      <c r="E41" s="54"/>
      <c r="F41" s="54"/>
      <c r="G41" s="54"/>
      <c r="H41" s="54"/>
      <c r="I41" s="54"/>
      <c r="J41" s="54"/>
      <c r="K41" s="54"/>
      <c r="L41" s="54"/>
      <c r="M41" s="54"/>
      <c r="N41" s="54"/>
      <c r="O41" s="54"/>
      <c r="P41" s="54"/>
      <c r="Q41" s="54"/>
      <c r="R41" s="54"/>
      <c r="S41" s="60"/>
      <c r="V41" s="50"/>
    </row>
    <row r="42" spans="1:35" ht="9.9499999999999993" customHeight="1" x14ac:dyDescent="0.2">
      <c r="A42" s="50"/>
      <c r="B42" s="50"/>
      <c r="C42" s="50"/>
      <c r="D42" s="50"/>
      <c r="E42" s="50"/>
      <c r="F42" s="50"/>
      <c r="G42" s="50"/>
      <c r="H42" s="50"/>
      <c r="I42" s="50"/>
      <c r="J42" s="50"/>
      <c r="K42" s="50"/>
      <c r="L42" s="50"/>
      <c r="M42" s="50"/>
      <c r="N42" s="50"/>
      <c r="O42" s="50"/>
      <c r="P42" s="50"/>
      <c r="Q42" s="50"/>
      <c r="R42" s="50"/>
      <c r="S42" s="50"/>
      <c r="V42" s="50"/>
    </row>
    <row r="43" spans="1:35" ht="20.25" x14ac:dyDescent="0.3">
      <c r="A43" s="264" t="s">
        <v>459</v>
      </c>
      <c r="B43" s="54"/>
      <c r="C43" s="54"/>
      <c r="D43" s="54"/>
      <c r="E43" s="54"/>
      <c r="F43" s="54"/>
      <c r="G43" s="54"/>
      <c r="H43" s="54"/>
      <c r="I43" s="54"/>
      <c r="J43" s="54"/>
      <c r="L43" s="265" t="s">
        <v>460</v>
      </c>
      <c r="M43" s="50"/>
      <c r="N43" s="50"/>
      <c r="O43" s="50"/>
      <c r="P43" s="50"/>
      <c r="Q43" s="50"/>
      <c r="R43" s="50"/>
      <c r="S43" s="50"/>
      <c r="V43" s="50"/>
    </row>
    <row r="44" spans="1:35" ht="35.1" customHeight="1" x14ac:dyDescent="0.2">
      <c r="V44" s="50"/>
    </row>
    <row r="45" spans="1:35" ht="18.75" customHeight="1" x14ac:dyDescent="0.2">
      <c r="A45" s="36"/>
      <c r="B45" s="11"/>
      <c r="C45" s="11"/>
      <c r="D45" s="484" t="s">
        <v>379</v>
      </c>
      <c r="E45" s="485"/>
      <c r="F45" s="485"/>
      <c r="G45" s="485"/>
      <c r="H45" s="485"/>
      <c r="I45" s="485"/>
      <c r="J45" s="485"/>
      <c r="K45" s="485"/>
      <c r="L45" s="486"/>
      <c r="M45" s="11"/>
      <c r="N45" s="487" t="str">
        <f>IF(Eingabe!$L$108="Ausgabe vg Lüftung",Eingabe!$AA$65,"siehe Ausgabe freie Lüftung!")</f>
        <v>siehe Ausgabe freie Lüftung!</v>
      </c>
      <c r="O45" s="488"/>
      <c r="P45" s="488"/>
      <c r="Q45" s="488"/>
      <c r="R45" s="488"/>
      <c r="S45" s="489"/>
    </row>
    <row r="46" spans="1:35" ht="9.9499999999999993" customHeight="1" x14ac:dyDescent="0.2">
      <c r="A46" s="51"/>
      <c r="B46" s="50"/>
      <c r="C46" s="50"/>
      <c r="D46" s="50"/>
      <c r="E46" s="50"/>
      <c r="F46" s="50"/>
      <c r="G46" s="50"/>
      <c r="H46" s="50"/>
      <c r="I46" s="50"/>
      <c r="J46" s="50"/>
      <c r="K46" s="50"/>
      <c r="L46" s="50"/>
      <c r="M46" s="50"/>
      <c r="N46" s="50"/>
      <c r="O46" s="50"/>
      <c r="P46" s="50"/>
      <c r="Q46" s="50"/>
      <c r="R46" s="50"/>
      <c r="S46" s="52"/>
    </row>
    <row r="47" spans="1:35" s="5" customFormat="1" ht="18" customHeight="1" x14ac:dyDescent="0.2">
      <c r="A47" s="44" t="s">
        <v>382</v>
      </c>
      <c r="B47" s="11"/>
      <c r="C47" s="11"/>
      <c r="D47" s="11"/>
      <c r="E47" s="11"/>
      <c r="F47" s="11"/>
      <c r="G47" s="105" t="s">
        <v>366</v>
      </c>
      <c r="H47" s="106"/>
      <c r="I47" s="105" t="s">
        <v>367</v>
      </c>
      <c r="J47" s="106"/>
      <c r="K47" s="105" t="s">
        <v>383</v>
      </c>
      <c r="L47" s="505" t="s">
        <v>385</v>
      </c>
      <c r="M47" s="506"/>
      <c r="N47" s="107" t="s">
        <v>445</v>
      </c>
      <c r="O47" s="107" t="s">
        <v>368</v>
      </c>
      <c r="P47" s="106"/>
      <c r="Q47" s="105" t="s">
        <v>369</v>
      </c>
      <c r="R47" s="528"/>
      <c r="S47" s="529"/>
    </row>
    <row r="48" spans="1:35" ht="15" customHeight="1" x14ac:dyDescent="0.2">
      <c r="A48" s="97" t="s">
        <v>387</v>
      </c>
      <c r="B48" s="492" t="str">
        <f>IF(Eingabe!$L$108="Ausgabe vg Lüftung",IF(ISBLANK(Eingabe!$N91),"",Eingabe!$I91),"")</f>
        <v/>
      </c>
      <c r="C48" s="493"/>
      <c r="D48" s="493"/>
      <c r="E48" s="494"/>
      <c r="F48" s="99"/>
      <c r="G48" s="102" t="str">
        <f>IF($B48="",CHAR(111),IF(Eingabe!$AA$65="Abluftsystem",CHAR(254),CHAR(111)))</f>
        <v>o</v>
      </c>
      <c r="H48" s="4"/>
      <c r="I48" s="102" t="str">
        <f>IF($B48="",CHAR(111),IF(AND(Eingabe!$L$108="Ausgabe vg Lüftung",Eingabe!L91=""),CHAR(254),CHAR(111)))</f>
        <v>o</v>
      </c>
      <c r="J48" s="4"/>
      <c r="K48" s="102" t="str">
        <f>CHAR(111)</f>
        <v>o</v>
      </c>
      <c r="L48" s="495" t="str">
        <f>IF(ISTEXT(Eingabe!L91),CHAR(111),IF($B48="",CHAR(111),IF(OR(Eingabe!$AA$65="Zuluftsystem",Eingabe!$AA$65="Zu-/Abluft-System"),CHAR(254),CHAR(111))))</f>
        <v>o</v>
      </c>
      <c r="M48" s="496" t="str">
        <f>IF($B48="",CHAR(111),IF(Eingabe!$N$63="ventilatorgestützte Lüftung",CHAR(254),CHAR(111)))</f>
        <v>o</v>
      </c>
      <c r="N48" s="102" t="str">
        <f>IF($B48="",CHAR(111),IF(OR(Eingabe!$AA$65="Zuluftsystem",Eingabe!$AA$65="Zu-/Abluft-System"),CHAR(254),CHAR(111)))</f>
        <v>o</v>
      </c>
      <c r="O48" s="102" t="str">
        <f>CHAR(111)</f>
        <v>o</v>
      </c>
      <c r="P48" s="4"/>
      <c r="Q48" s="326" t="str">
        <f>IF(AND(ISTEXT(B48),ISTEXT(Eingabe!L91)),CHAR(254),CHAR(111))</f>
        <v>o</v>
      </c>
      <c r="R48" s="497"/>
      <c r="S48" s="498"/>
      <c r="U48" s="226"/>
      <c r="V48" s="226"/>
    </row>
    <row r="49" spans="1:19" ht="15" customHeight="1" x14ac:dyDescent="0.2">
      <c r="A49" s="223" t="s">
        <v>447</v>
      </c>
      <c r="B49" s="224" t="str">
        <f>IF(Eingabe!$L$108="Ausgabe vg Lüftung",IF(ISBLANK(Eingabe!$N91),"",Eingabe!$P91),"")</f>
        <v/>
      </c>
      <c r="C49" s="225"/>
      <c r="D49" s="100" t="s">
        <v>345</v>
      </c>
      <c r="E49" s="101" t="s">
        <v>389</v>
      </c>
      <c r="F49" s="92"/>
      <c r="G49" s="93" t="str">
        <f>IF(G48="o","-",$B49/Eingabe!$Z$101*$N$26)</f>
        <v>-</v>
      </c>
      <c r="H49" s="92"/>
      <c r="I49" s="93" t="str">
        <f>IF(I48="o","-",$B49/Eingabe!$Z$101*$N$28)</f>
        <v>-</v>
      </c>
      <c r="J49" s="73"/>
      <c r="K49" s="93" t="s">
        <v>37</v>
      </c>
      <c r="L49" s="524" t="str">
        <f>IF(L48="o","-",$B49/Eingabe!$Z$101*$N$32)</f>
        <v>-</v>
      </c>
      <c r="M49" s="525"/>
      <c r="N49" s="93" t="str">
        <f>IF(N48="o","-",$B49/Eingabe!$Z$101*$N$32)</f>
        <v>-</v>
      </c>
      <c r="O49" s="93" t="s">
        <v>37</v>
      </c>
      <c r="P49" s="73"/>
      <c r="Q49" s="93" t="str">
        <f>IF(Q48="o","-",$B49/Eingabe!$Z$101*$N$32)</f>
        <v>-</v>
      </c>
      <c r="R49" s="526"/>
      <c r="S49" s="527"/>
    </row>
    <row r="50" spans="1:19" ht="15" customHeight="1" x14ac:dyDescent="0.2">
      <c r="A50" s="97" t="s">
        <v>387</v>
      </c>
      <c r="B50" s="492" t="str">
        <f>IF(Eingabe!$L$108="Ausgabe vg Lüftung",IF(ISBLANK(Eingabe!$N92),"",Eingabe!$I92),"")</f>
        <v/>
      </c>
      <c r="C50" s="493"/>
      <c r="D50" s="493"/>
      <c r="E50" s="494"/>
      <c r="F50" s="99"/>
      <c r="G50" s="102" t="str">
        <f>IF($B50="",CHAR(111),IF(Eingabe!$AA$65="Abluftsystem",CHAR(254),CHAR(111)))</f>
        <v>o</v>
      </c>
      <c r="H50" s="4"/>
      <c r="I50" s="102" t="str">
        <f>IF($B50="",CHAR(111),IF(AND(Eingabe!$L$108="Ausgabe vg Lüftung",Eingabe!L92=""),CHAR(254),CHAR(111)))</f>
        <v>o</v>
      </c>
      <c r="J50" s="4"/>
      <c r="K50" s="102" t="str">
        <f>CHAR(111)</f>
        <v>o</v>
      </c>
      <c r="L50" s="495" t="str">
        <f>IF(ISTEXT(Eingabe!L92),CHAR(111),IF($B50="",CHAR(111),IF(OR(Eingabe!$AA$65="Zuluftsystem",Eingabe!$AA$65="Zu-/Abluft-System"),CHAR(254),CHAR(111))))</f>
        <v>o</v>
      </c>
      <c r="M50" s="496" t="str">
        <f>IF($B50="",CHAR(111),IF(Eingabe!$N$63="ventilatorgestützte Lüftung",CHAR(254),CHAR(111)))</f>
        <v>o</v>
      </c>
      <c r="N50" s="102" t="str">
        <f>IF($B50="",CHAR(111),IF(OR(Eingabe!$AA$65="Zuluftsystem",Eingabe!$AA$65="Zu-/Abluft-System"),CHAR(254),CHAR(111)))</f>
        <v>o</v>
      </c>
      <c r="O50" s="102" t="str">
        <f>CHAR(111)</f>
        <v>o</v>
      </c>
      <c r="P50" s="4"/>
      <c r="Q50" s="326" t="str">
        <f>IF(AND(ISTEXT(B50),ISTEXT(Eingabe!L92)),CHAR(254),CHAR(111))</f>
        <v>o</v>
      </c>
      <c r="R50" s="497"/>
      <c r="S50" s="498"/>
    </row>
    <row r="51" spans="1:19" ht="15" customHeight="1" x14ac:dyDescent="0.2">
      <c r="A51" s="223" t="s">
        <v>447</v>
      </c>
      <c r="B51" s="224" t="str">
        <f>IF(Eingabe!$L$108="Ausgabe vg Lüftung",IF(ISBLANK(Eingabe!$N92),"",Eingabe!$P92),"")</f>
        <v/>
      </c>
      <c r="C51" s="225"/>
      <c r="D51" s="100" t="s">
        <v>345</v>
      </c>
      <c r="E51" s="101" t="s">
        <v>389</v>
      </c>
      <c r="F51" s="92"/>
      <c r="G51" s="93" t="str">
        <f>IF(G50="o","-",$B51/Eingabe!$Z$101*$N$26)</f>
        <v>-</v>
      </c>
      <c r="H51" s="92"/>
      <c r="I51" s="93" t="str">
        <f>IF(I50="o","-",$B51/Eingabe!$Z$101*$N$28)</f>
        <v>-</v>
      </c>
      <c r="J51" s="73"/>
      <c r="K51" s="93" t="s">
        <v>37</v>
      </c>
      <c r="L51" s="524" t="str">
        <f>IF(L50="o","-",$B51/Eingabe!$Z$101*$N$32)</f>
        <v>-</v>
      </c>
      <c r="M51" s="525"/>
      <c r="N51" s="93" t="str">
        <f>IF(N50="o","-",$B51/Eingabe!$Z$101*$N$32)</f>
        <v>-</v>
      </c>
      <c r="O51" s="93" t="s">
        <v>37</v>
      </c>
      <c r="P51" s="73"/>
      <c r="Q51" s="93" t="str">
        <f>IF(Q50="o","-",$B51/Eingabe!$Z$101*$N$32)</f>
        <v>-</v>
      </c>
      <c r="R51" s="526"/>
      <c r="S51" s="527"/>
    </row>
    <row r="52" spans="1:19" ht="15" customHeight="1" x14ac:dyDescent="0.2">
      <c r="A52" s="97" t="s">
        <v>387</v>
      </c>
      <c r="B52" s="492" t="str">
        <f>IF(Eingabe!$L$108="Ausgabe vg Lüftung",IF(ISBLANK(Eingabe!$N93),"",Eingabe!$I93),"")</f>
        <v/>
      </c>
      <c r="C52" s="493"/>
      <c r="D52" s="493"/>
      <c r="E52" s="494"/>
      <c r="F52" s="99"/>
      <c r="G52" s="102" t="str">
        <f>IF($B52="",CHAR(111),IF(Eingabe!$AA$65="Abluftsystem",CHAR(254),CHAR(111)))</f>
        <v>o</v>
      </c>
      <c r="H52" s="4"/>
      <c r="I52" s="102" t="str">
        <f>IF($B52="",CHAR(111),IF(AND(Eingabe!$L$108="Ausgabe vg Lüftung",Eingabe!L93=""),CHAR(254),CHAR(111)))</f>
        <v>o</v>
      </c>
      <c r="J52" s="4"/>
      <c r="K52" s="102" t="str">
        <f>CHAR(111)</f>
        <v>o</v>
      </c>
      <c r="L52" s="495" t="str">
        <f>IF(ISTEXT(Eingabe!L93),CHAR(111),IF($B52="",CHAR(111),IF(OR(Eingabe!$AA$65="Zuluftsystem",Eingabe!$AA$65="Zu-/Abluft-System"),CHAR(254),CHAR(111))))</f>
        <v>o</v>
      </c>
      <c r="M52" s="496" t="str">
        <f>IF($B52="",CHAR(111),IF(Eingabe!$N$63="ventilatorgestützte Lüftung",CHAR(254),CHAR(111)))</f>
        <v>o</v>
      </c>
      <c r="N52" s="102" t="str">
        <f>IF($B52="",CHAR(111),IF(OR(Eingabe!$AA$65="Zuluftsystem",Eingabe!$AA$65="Zu-/Abluft-System"),CHAR(254),CHAR(111)))</f>
        <v>o</v>
      </c>
      <c r="O52" s="102" t="str">
        <f>CHAR(111)</f>
        <v>o</v>
      </c>
      <c r="P52" s="4"/>
      <c r="Q52" s="326" t="str">
        <f>IF(AND(ISTEXT(B52),ISTEXT(Eingabe!L93)),CHAR(254),CHAR(111))</f>
        <v>o</v>
      </c>
      <c r="R52" s="503"/>
      <c r="S52" s="504"/>
    </row>
    <row r="53" spans="1:19" ht="15" customHeight="1" x14ac:dyDescent="0.2">
      <c r="A53" s="223" t="s">
        <v>447</v>
      </c>
      <c r="B53" s="224" t="str">
        <f>IF(Eingabe!$L$108="Ausgabe vg Lüftung",IF(ISBLANK(Eingabe!$N93),"",Eingabe!$P93),"")</f>
        <v/>
      </c>
      <c r="C53" s="225"/>
      <c r="D53" s="100" t="s">
        <v>345</v>
      </c>
      <c r="E53" s="101" t="s">
        <v>389</v>
      </c>
      <c r="F53" s="92"/>
      <c r="G53" s="93" t="str">
        <f>IF(G52="o","-",$B53/Eingabe!$Z$101*$N$26)</f>
        <v>-</v>
      </c>
      <c r="H53" s="92"/>
      <c r="I53" s="93" t="str">
        <f>IF(I52="o","-",$B53/Eingabe!$Z$101*$N$28)</f>
        <v>-</v>
      </c>
      <c r="J53" s="73"/>
      <c r="K53" s="93" t="s">
        <v>37</v>
      </c>
      <c r="L53" s="524" t="str">
        <f>IF(L52="o","-",$B53/Eingabe!$Z$101*$N$32)</f>
        <v>-</v>
      </c>
      <c r="M53" s="525"/>
      <c r="N53" s="93" t="str">
        <f>IF(N52="o","-",$B53/Eingabe!$Z$101*$N$32)</f>
        <v>-</v>
      </c>
      <c r="O53" s="93" t="s">
        <v>37</v>
      </c>
      <c r="P53" s="73"/>
      <c r="Q53" s="93" t="str">
        <f>IF(Q52="o","-",$B53/Eingabe!$Z$101*$N$32)</f>
        <v>-</v>
      </c>
      <c r="R53" s="530"/>
      <c r="S53" s="531"/>
    </row>
    <row r="54" spans="1:19" ht="15" customHeight="1" x14ac:dyDescent="0.2">
      <c r="A54" s="97" t="s">
        <v>387</v>
      </c>
      <c r="B54" s="492" t="str">
        <f>IF(Eingabe!$L$108="Ausgabe vg Lüftung",IF(ISBLANK(Eingabe!$N94),"",Eingabe!$I94),"")</f>
        <v/>
      </c>
      <c r="C54" s="493"/>
      <c r="D54" s="493"/>
      <c r="E54" s="494"/>
      <c r="F54" s="99"/>
      <c r="G54" s="102" t="str">
        <f>IF($B54="",CHAR(111),IF(Eingabe!$AA$65="Abluftsystem",CHAR(254),CHAR(111)))</f>
        <v>o</v>
      </c>
      <c r="H54" s="4"/>
      <c r="I54" s="102" t="str">
        <f>IF($B54="",CHAR(111),IF(AND(Eingabe!$L$108="Ausgabe vg Lüftung",Eingabe!L94=""),CHAR(254),CHAR(111)))</f>
        <v>o</v>
      </c>
      <c r="J54" s="4"/>
      <c r="K54" s="102" t="str">
        <f>CHAR(111)</f>
        <v>o</v>
      </c>
      <c r="L54" s="495" t="str">
        <f>IF(ISTEXT(Eingabe!L94),CHAR(111),IF($B54="",CHAR(111),IF(OR(Eingabe!$AA$65="Zuluftsystem",Eingabe!$AA$65="Zu-/Abluft-System"),CHAR(254),CHAR(111))))</f>
        <v>o</v>
      </c>
      <c r="M54" s="496" t="str">
        <f>IF($B54="",CHAR(111),IF(Eingabe!$N$63="ventilatorgestützte Lüftung",CHAR(254),CHAR(111)))</f>
        <v>o</v>
      </c>
      <c r="N54" s="102" t="str">
        <f>IF($B54="",CHAR(111),IF(OR(Eingabe!$AA$65="Zuluftsystem",Eingabe!$AA$65="Zu-/Abluft-System"),CHAR(254),CHAR(111)))</f>
        <v>o</v>
      </c>
      <c r="O54" s="102" t="str">
        <f>CHAR(111)</f>
        <v>o</v>
      </c>
      <c r="P54" s="4"/>
      <c r="Q54" s="326" t="str">
        <f>IF(AND(ISTEXT(B54),ISTEXT(Eingabe!L94)),CHAR(254),CHAR(111))</f>
        <v>o</v>
      </c>
      <c r="R54" s="503"/>
      <c r="S54" s="504"/>
    </row>
    <row r="55" spans="1:19" ht="15" customHeight="1" x14ac:dyDescent="0.2">
      <c r="A55" s="223" t="s">
        <v>447</v>
      </c>
      <c r="B55" s="224" t="str">
        <f>IF(Eingabe!$L$108="Ausgabe vg Lüftung",IF(ISBLANK(Eingabe!$N94),"",Eingabe!$P94),"")</f>
        <v/>
      </c>
      <c r="C55" s="225"/>
      <c r="D55" s="100" t="s">
        <v>345</v>
      </c>
      <c r="E55" s="101" t="s">
        <v>389</v>
      </c>
      <c r="F55" s="92"/>
      <c r="G55" s="93" t="str">
        <f>IF(G54="o","-",$B55/Eingabe!$Z$101*$N$26)</f>
        <v>-</v>
      </c>
      <c r="H55" s="92"/>
      <c r="I55" s="93" t="str">
        <f>IF(I54="o","-",$B55/Eingabe!$Z$101*$N$28)</f>
        <v>-</v>
      </c>
      <c r="J55" s="73"/>
      <c r="K55" s="93" t="s">
        <v>37</v>
      </c>
      <c r="L55" s="524" t="str">
        <f>IF(L54="o","-",$B55/Eingabe!$Z$101*$N$32)</f>
        <v>-</v>
      </c>
      <c r="M55" s="525"/>
      <c r="N55" s="93" t="str">
        <f>IF(N54="o","-",$B55/Eingabe!$Z$101*$N$32)</f>
        <v>-</v>
      </c>
      <c r="O55" s="93" t="s">
        <v>37</v>
      </c>
      <c r="P55" s="73"/>
      <c r="Q55" s="93" t="str">
        <f>IF(Q54="o","-",$B55/Eingabe!$Z$101*$N$32)</f>
        <v>-</v>
      </c>
      <c r="R55" s="530"/>
      <c r="S55" s="531"/>
    </row>
    <row r="56" spans="1:19" ht="15" customHeight="1" x14ac:dyDescent="0.2">
      <c r="A56" s="97" t="s">
        <v>387</v>
      </c>
      <c r="B56" s="492" t="str">
        <f>IF(Eingabe!$L$108="Ausgabe vg Lüftung",IF(ISBLANK(Eingabe!$N95),"",Eingabe!$I95),"")</f>
        <v/>
      </c>
      <c r="C56" s="493"/>
      <c r="D56" s="493"/>
      <c r="E56" s="494"/>
      <c r="F56" s="99"/>
      <c r="G56" s="102" t="str">
        <f>IF($B56="",CHAR(111),IF(Eingabe!$AA$65="Abluftsystem",CHAR(254),CHAR(111)))</f>
        <v>o</v>
      </c>
      <c r="H56" s="4"/>
      <c r="I56" s="102" t="str">
        <f>IF($B56="",CHAR(111),IF(AND(Eingabe!$L$108="Ausgabe vg Lüftung",Eingabe!L95=""),CHAR(254),CHAR(111)))</f>
        <v>o</v>
      </c>
      <c r="J56" s="4"/>
      <c r="K56" s="102" t="str">
        <f>CHAR(111)</f>
        <v>o</v>
      </c>
      <c r="L56" s="495" t="str">
        <f>IF(ISTEXT(Eingabe!L95),CHAR(111),IF($B56="",CHAR(111),IF(OR(Eingabe!$AA$65="Zuluftsystem",Eingabe!$AA$65="Zu-/Abluft-System"),CHAR(254),CHAR(111))))</f>
        <v>o</v>
      </c>
      <c r="M56" s="496" t="str">
        <f>IF($B56="",CHAR(111),IF(Eingabe!$N$63="ventilatorgestützte Lüftung",CHAR(254),CHAR(111)))</f>
        <v>o</v>
      </c>
      <c r="N56" s="102" t="str">
        <f>IF($B56="",CHAR(111),IF(OR(Eingabe!$AA$65="Zuluftsystem",Eingabe!$AA$65="Zu-/Abluft-System"),CHAR(254),CHAR(111)))</f>
        <v>o</v>
      </c>
      <c r="O56" s="102" t="str">
        <f>CHAR(111)</f>
        <v>o</v>
      </c>
      <c r="P56" s="4"/>
      <c r="Q56" s="326" t="str">
        <f>IF(AND(ISTEXT(B56),ISTEXT(Eingabe!L95)),CHAR(254),CHAR(111))</f>
        <v>o</v>
      </c>
      <c r="R56" s="503"/>
      <c r="S56" s="504"/>
    </row>
    <row r="57" spans="1:19" ht="15" customHeight="1" x14ac:dyDescent="0.2">
      <c r="A57" s="223" t="s">
        <v>447</v>
      </c>
      <c r="B57" s="224" t="str">
        <f>IF(Eingabe!$L$108="Ausgabe vg Lüftung",IF(ISBLANK(Eingabe!$N95),"",Eingabe!$P95),"")</f>
        <v/>
      </c>
      <c r="C57" s="225"/>
      <c r="D57" s="100" t="s">
        <v>345</v>
      </c>
      <c r="E57" s="101" t="s">
        <v>389</v>
      </c>
      <c r="F57" s="92"/>
      <c r="G57" s="93" t="str">
        <f>IF(G56="o","-",$B57/Eingabe!$Z$101*$N$26)</f>
        <v>-</v>
      </c>
      <c r="H57" s="92"/>
      <c r="I57" s="93" t="str">
        <f>IF(I56="o","-",$B57/Eingabe!$Z$101*$N$28)</f>
        <v>-</v>
      </c>
      <c r="J57" s="73"/>
      <c r="K57" s="93" t="s">
        <v>37</v>
      </c>
      <c r="L57" s="524" t="str">
        <f>IF(L56="o","-",$B57/Eingabe!$Z$101*$N$32)</f>
        <v>-</v>
      </c>
      <c r="M57" s="525"/>
      <c r="N57" s="93" t="str">
        <f>IF(N56="o","-",$B57/Eingabe!$Z$101*$N$32)</f>
        <v>-</v>
      </c>
      <c r="O57" s="93" t="s">
        <v>37</v>
      </c>
      <c r="P57" s="73"/>
      <c r="Q57" s="93" t="str">
        <f>IF(Q56="o","-",$B57/Eingabe!$Z$101*$N$32)</f>
        <v>-</v>
      </c>
      <c r="R57" s="530"/>
      <c r="S57" s="531"/>
    </row>
    <row r="58" spans="1:19" ht="15" customHeight="1" x14ac:dyDescent="0.2">
      <c r="A58" s="97" t="s">
        <v>387</v>
      </c>
      <c r="B58" s="492" t="str">
        <f>IF(Eingabe!$L$108="Ausgabe vg Lüftung",IF(ISBLANK(Eingabe!$N96),"",Eingabe!$I96),"")</f>
        <v/>
      </c>
      <c r="C58" s="493"/>
      <c r="D58" s="493"/>
      <c r="E58" s="494"/>
      <c r="F58" s="99"/>
      <c r="G58" s="102" t="str">
        <f>IF($B58="",CHAR(111),IF(Eingabe!$AA$65="Abluftsystem",CHAR(254),CHAR(111)))</f>
        <v>o</v>
      </c>
      <c r="H58" s="4"/>
      <c r="I58" s="102" t="str">
        <f>IF($B58="",CHAR(111),IF(AND(Eingabe!$L$108="Ausgabe vg Lüftung",Eingabe!L96=""),CHAR(254),CHAR(111)))</f>
        <v>o</v>
      </c>
      <c r="J58" s="4"/>
      <c r="K58" s="102" t="str">
        <f>CHAR(111)</f>
        <v>o</v>
      </c>
      <c r="L58" s="495" t="str">
        <f>IF(ISTEXT(Eingabe!L96),CHAR(111),IF($B58="",CHAR(111),IF(OR(Eingabe!$AA$65="Zuluftsystem",Eingabe!$AA$65="Zu-/Abluft-System"),CHAR(254),CHAR(111))))</f>
        <v>o</v>
      </c>
      <c r="M58" s="496" t="str">
        <f>IF($B58="",CHAR(111),IF(Eingabe!$N$63="ventilatorgestützte Lüftung",CHAR(254),CHAR(111)))</f>
        <v>o</v>
      </c>
      <c r="N58" s="102" t="str">
        <f>IF($B58="",CHAR(111),IF(OR(Eingabe!$AA$65="Zuluftsystem",Eingabe!$AA$65="Zu-/Abluft-System"),CHAR(254),CHAR(111)))</f>
        <v>o</v>
      </c>
      <c r="O58" s="102" t="str">
        <f>CHAR(111)</f>
        <v>o</v>
      </c>
      <c r="P58" s="4"/>
      <c r="Q58" s="326" t="str">
        <f>IF(AND(ISTEXT(B58),ISTEXT(Eingabe!L96)),CHAR(254),CHAR(111))</f>
        <v>o</v>
      </c>
      <c r="R58" s="503"/>
      <c r="S58" s="504"/>
    </row>
    <row r="59" spans="1:19" ht="15" customHeight="1" x14ac:dyDescent="0.2">
      <c r="A59" s="223" t="s">
        <v>447</v>
      </c>
      <c r="B59" s="224" t="str">
        <f>IF(Eingabe!$L$108="Ausgabe vg Lüftung",IF(ISBLANK(Eingabe!$N96),"",Eingabe!$P96),"")</f>
        <v/>
      </c>
      <c r="C59" s="225"/>
      <c r="D59" s="100" t="s">
        <v>345</v>
      </c>
      <c r="E59" s="101" t="s">
        <v>389</v>
      </c>
      <c r="F59" s="92"/>
      <c r="G59" s="93" t="str">
        <f>IF(G58="o","-",$B59/Eingabe!$Z$101*$N$26)</f>
        <v>-</v>
      </c>
      <c r="H59" s="92"/>
      <c r="I59" s="93" t="str">
        <f>IF(I58="o","-",$B59/Eingabe!$Z$101*$N$28)</f>
        <v>-</v>
      </c>
      <c r="J59" s="73"/>
      <c r="K59" s="93" t="s">
        <v>37</v>
      </c>
      <c r="L59" s="524" t="str">
        <f>IF(L58="o","-",$B59/Eingabe!$Z$101*$N$32)</f>
        <v>-</v>
      </c>
      <c r="M59" s="525"/>
      <c r="N59" s="93" t="str">
        <f>IF(N58="o","-",$B59/Eingabe!$Z$101*$N$32)</f>
        <v>-</v>
      </c>
      <c r="O59" s="93" t="s">
        <v>37</v>
      </c>
      <c r="P59" s="73"/>
      <c r="Q59" s="93" t="str">
        <f>IF(Q58="o","-",$B59/Eingabe!$Z$101*$N$32)</f>
        <v>-</v>
      </c>
      <c r="R59" s="530"/>
      <c r="S59" s="531"/>
    </row>
    <row r="60" spans="1:19" ht="15" customHeight="1" x14ac:dyDescent="0.2">
      <c r="A60" s="97" t="s">
        <v>387</v>
      </c>
      <c r="B60" s="492" t="str">
        <f>IF(Eingabe!$L$108="Ausgabe vg Lüftung",IF(ISBLANK(Eingabe!$N97),"",Eingabe!$I97),"")</f>
        <v/>
      </c>
      <c r="C60" s="493"/>
      <c r="D60" s="493"/>
      <c r="E60" s="494"/>
      <c r="F60" s="99"/>
      <c r="G60" s="102" t="str">
        <f>IF($B60="",CHAR(111),IF(Eingabe!$AA$65="Abluftsystem",CHAR(254),CHAR(111)))</f>
        <v>o</v>
      </c>
      <c r="H60" s="4"/>
      <c r="I60" s="102" t="str">
        <f>IF($B60="",CHAR(111),IF(AND(Eingabe!$L$108="Ausgabe vg Lüftung",Eingabe!L97=""),CHAR(254),CHAR(111)))</f>
        <v>o</v>
      </c>
      <c r="J60" s="4"/>
      <c r="K60" s="102" t="str">
        <f>CHAR(111)</f>
        <v>o</v>
      </c>
      <c r="L60" s="495" t="str">
        <f>IF(ISTEXT(Eingabe!L97),CHAR(111),IF($B60="",CHAR(111),IF(OR(Eingabe!$AA$65="Zuluftsystem",Eingabe!$AA$65="Zu-/Abluft-System"),CHAR(254),CHAR(111))))</f>
        <v>o</v>
      </c>
      <c r="M60" s="496" t="str">
        <f>IF($B60="",CHAR(111),IF(Eingabe!$N$63="ventilatorgestützte Lüftung",CHAR(254),CHAR(111)))</f>
        <v>o</v>
      </c>
      <c r="N60" s="102" t="str">
        <f>IF($B60="",CHAR(111),IF(OR(Eingabe!$AA$65="Zuluftsystem",Eingabe!$AA$65="Zu-/Abluft-System"),CHAR(254),CHAR(111)))</f>
        <v>o</v>
      </c>
      <c r="O60" s="102" t="str">
        <f>CHAR(111)</f>
        <v>o</v>
      </c>
      <c r="P60" s="4"/>
      <c r="Q60" s="326" t="str">
        <f>IF(AND(ISTEXT(B60),ISTEXT(Eingabe!L97)),CHAR(254),CHAR(111))</f>
        <v>o</v>
      </c>
      <c r="R60" s="503"/>
      <c r="S60" s="504"/>
    </row>
    <row r="61" spans="1:19" ht="15" customHeight="1" x14ac:dyDescent="0.2">
      <c r="A61" s="223" t="s">
        <v>447</v>
      </c>
      <c r="B61" s="224" t="str">
        <f>IF(Eingabe!$L$108="Ausgabe vg Lüftung",IF(ISBLANK(Eingabe!$N97),"",Eingabe!$P97),"")</f>
        <v/>
      </c>
      <c r="C61" s="225"/>
      <c r="D61" s="100" t="s">
        <v>345</v>
      </c>
      <c r="E61" s="101" t="s">
        <v>389</v>
      </c>
      <c r="F61" s="92"/>
      <c r="G61" s="93" t="str">
        <f>IF(G60="o","-",$B61/Eingabe!$Z$101*$N$26)</f>
        <v>-</v>
      </c>
      <c r="H61" s="92"/>
      <c r="I61" s="93" t="str">
        <f>IF(I60="o","-",$B61/Eingabe!$Z$101*$N$28)</f>
        <v>-</v>
      </c>
      <c r="J61" s="73"/>
      <c r="K61" s="93" t="s">
        <v>37</v>
      </c>
      <c r="L61" s="524" t="str">
        <f>IF(L60="o","-",$B61/Eingabe!$Z$101*$N$32)</f>
        <v>-</v>
      </c>
      <c r="M61" s="525"/>
      <c r="N61" s="93" t="str">
        <f>IF(N60="o","-",$B61/Eingabe!$Z$101*$N$32)</f>
        <v>-</v>
      </c>
      <c r="O61" s="93" t="s">
        <v>37</v>
      </c>
      <c r="P61" s="73"/>
      <c r="Q61" s="93" t="str">
        <f>IF(Q60="o","-",$B61/Eingabe!$Z$101*$N$32)</f>
        <v>-</v>
      </c>
      <c r="R61" s="530"/>
      <c r="S61" s="531"/>
    </row>
    <row r="62" spans="1:19" ht="15" customHeight="1" x14ac:dyDescent="0.2">
      <c r="A62" s="97" t="s">
        <v>387</v>
      </c>
      <c r="B62" s="492" t="str">
        <f>IF(Eingabe!$L$108="Ausgabe vg Lüftung",IF(ISBLANK(Eingabe!$N98),"",Eingabe!$I98),"")</f>
        <v/>
      </c>
      <c r="C62" s="493"/>
      <c r="D62" s="493"/>
      <c r="E62" s="494"/>
      <c r="F62" s="99"/>
      <c r="G62" s="102" t="str">
        <f>IF($B62="",CHAR(111),IF(Eingabe!$AA$65="Abluftsystem",CHAR(254),CHAR(111)))</f>
        <v>o</v>
      </c>
      <c r="H62" s="4"/>
      <c r="I62" s="102" t="str">
        <f>IF($B62="",CHAR(111),IF(AND(Eingabe!$L$108="Ausgabe vg Lüftung",Eingabe!L98=""),CHAR(254),CHAR(111)))</f>
        <v>o</v>
      </c>
      <c r="J62" s="4"/>
      <c r="K62" s="102" t="str">
        <f>CHAR(111)</f>
        <v>o</v>
      </c>
      <c r="L62" s="495" t="str">
        <f>IF(ISTEXT(Eingabe!L98),CHAR(111),IF($B62="",CHAR(111),IF(OR(Eingabe!$AA$65="Zuluftsystem",Eingabe!$AA$65="Zu-/Abluft-System"),CHAR(254),CHAR(111))))</f>
        <v>o</v>
      </c>
      <c r="M62" s="496" t="str">
        <f>IF($B62="",CHAR(111),IF(Eingabe!$N$63="ventilatorgestützte Lüftung",CHAR(254),CHAR(111)))</f>
        <v>o</v>
      </c>
      <c r="N62" s="102" t="str">
        <f>IF($B62="",CHAR(111),IF(OR(Eingabe!$AA$65="Zuluftsystem",Eingabe!$AA$65="Zu-/Abluft-System"),CHAR(254),CHAR(111)))</f>
        <v>o</v>
      </c>
      <c r="O62" s="102" t="str">
        <f>CHAR(111)</f>
        <v>o</v>
      </c>
      <c r="P62" s="4"/>
      <c r="Q62" s="326" t="str">
        <f>IF(AND(ISTEXT(B62),ISTEXT(Eingabe!L98)),CHAR(254),CHAR(111))</f>
        <v>o</v>
      </c>
      <c r="R62" s="503"/>
      <c r="S62" s="504"/>
    </row>
    <row r="63" spans="1:19" ht="15" customHeight="1" x14ac:dyDescent="0.2">
      <c r="A63" s="223" t="s">
        <v>447</v>
      </c>
      <c r="B63" s="224" t="str">
        <f>IF(Eingabe!$L$108="Ausgabe vg Lüftung",IF(ISBLANK(Eingabe!$N98),"",Eingabe!$P98),"")</f>
        <v/>
      </c>
      <c r="C63" s="225"/>
      <c r="D63" s="100" t="s">
        <v>345</v>
      </c>
      <c r="E63" s="101" t="s">
        <v>389</v>
      </c>
      <c r="F63" s="92"/>
      <c r="G63" s="93" t="str">
        <f>IF(G62="o","-",$B63/Eingabe!$Z$101*$N$26)</f>
        <v>-</v>
      </c>
      <c r="H63" s="92"/>
      <c r="I63" s="93" t="str">
        <f>IF(I62="o","-",$B63/Eingabe!$Z$101*$N$28)</f>
        <v>-</v>
      </c>
      <c r="J63" s="73"/>
      <c r="K63" s="93" t="s">
        <v>37</v>
      </c>
      <c r="L63" s="524" t="str">
        <f>IF(L62="o","-",$B63/Eingabe!$Z$101*$N$32)</f>
        <v>-</v>
      </c>
      <c r="M63" s="525"/>
      <c r="N63" s="93" t="str">
        <f>IF(N62="o","-",$B63/Eingabe!$Z$101*$N$32)</f>
        <v>-</v>
      </c>
      <c r="O63" s="93" t="s">
        <v>37</v>
      </c>
      <c r="P63" s="73"/>
      <c r="Q63" s="93" t="str">
        <f>IF(Q62="o","-",$B63/Eingabe!$Z$101*$N$32)</f>
        <v>-</v>
      </c>
      <c r="R63" s="530"/>
      <c r="S63" s="531"/>
    </row>
    <row r="64" spans="1:19" ht="15" customHeight="1" x14ac:dyDescent="0.2">
      <c r="A64" s="97" t="s">
        <v>387</v>
      </c>
      <c r="B64" s="492" t="str">
        <f>IF(Eingabe!$L$108="Ausgabe vg Lüftung",IF(ISBLANK(Eingabe!$N99),"",Eingabe!$I99),"")</f>
        <v/>
      </c>
      <c r="C64" s="493"/>
      <c r="D64" s="493"/>
      <c r="E64" s="494"/>
      <c r="F64" s="99"/>
      <c r="G64" s="102" t="str">
        <f>IF($B64="",CHAR(111),IF(Eingabe!$AA$65="Abluftsystem",CHAR(254),CHAR(111)))</f>
        <v>o</v>
      </c>
      <c r="H64" s="4"/>
      <c r="I64" s="102" t="str">
        <f>IF($B64="",CHAR(111),IF(AND(Eingabe!$L$108="Ausgabe vg Lüftung",Eingabe!L99=""),CHAR(254),CHAR(111)))</f>
        <v>o</v>
      </c>
      <c r="J64" s="4"/>
      <c r="K64" s="102" t="str">
        <f>CHAR(111)</f>
        <v>o</v>
      </c>
      <c r="L64" s="495" t="str">
        <f>IF(ISTEXT(Eingabe!L99),CHAR(111),IF($B64="",CHAR(111),IF(OR(Eingabe!$AA$65="Zuluftsystem",Eingabe!$AA$65="Zu-/Abluft-System"),CHAR(254),CHAR(111))))</f>
        <v>o</v>
      </c>
      <c r="M64" s="496" t="str">
        <f>IF($B64="",CHAR(111),IF(Eingabe!$N$63="ventilatorgestützte Lüftung",CHAR(254),CHAR(111)))</f>
        <v>o</v>
      </c>
      <c r="N64" s="102" t="str">
        <f>IF($B64="",CHAR(111),IF(OR(Eingabe!$AA$65="Zuluftsystem",Eingabe!$AA$65="Zu-/Abluft-System"),CHAR(254),CHAR(111)))</f>
        <v>o</v>
      </c>
      <c r="O64" s="102" t="str">
        <f>CHAR(111)</f>
        <v>o</v>
      </c>
      <c r="P64" s="4"/>
      <c r="Q64" s="326" t="str">
        <f>IF(AND(ISTEXT(B64),ISTEXT(Eingabe!L99)),CHAR(254),CHAR(111))</f>
        <v>o</v>
      </c>
      <c r="R64" s="503"/>
      <c r="S64" s="504"/>
    </row>
    <row r="65" spans="1:19" ht="15" customHeight="1" x14ac:dyDescent="0.2">
      <c r="A65" s="223" t="s">
        <v>447</v>
      </c>
      <c r="B65" s="224" t="str">
        <f>IF(Eingabe!$L$108="Ausgabe vg Lüftung",IF(ISBLANK(Eingabe!$N99),"",Eingabe!$P99),"")</f>
        <v/>
      </c>
      <c r="C65" s="225"/>
      <c r="D65" s="100" t="s">
        <v>345</v>
      </c>
      <c r="E65" s="101" t="s">
        <v>389</v>
      </c>
      <c r="F65" s="92"/>
      <c r="G65" s="93" t="str">
        <f>IF(G64="o","-",$B65/Eingabe!$Z$101*$N$26)</f>
        <v>-</v>
      </c>
      <c r="H65" s="92"/>
      <c r="I65" s="93" t="str">
        <f>IF(I64="o","-",$B65/Eingabe!$Z$101*$N$28)</f>
        <v>-</v>
      </c>
      <c r="J65" s="73"/>
      <c r="K65" s="93" t="s">
        <v>37</v>
      </c>
      <c r="L65" s="524" t="str">
        <f>IF(L64="o","-",$B65/Eingabe!$Z$101*$N$32)</f>
        <v>-</v>
      </c>
      <c r="M65" s="525"/>
      <c r="N65" s="93" t="str">
        <f>IF(N64="o","-",$B65/Eingabe!$Z$101*$N$32)</f>
        <v>-</v>
      </c>
      <c r="O65" s="93" t="s">
        <v>37</v>
      </c>
      <c r="P65" s="73"/>
      <c r="Q65" s="93" t="str">
        <f>IF(Q64="o","-",$B65/Eingabe!$Z$101*$N$32)</f>
        <v>-</v>
      </c>
      <c r="R65" s="530"/>
      <c r="S65" s="531"/>
    </row>
    <row r="66" spans="1:19" ht="15" customHeight="1" x14ac:dyDescent="0.2">
      <c r="A66" s="97" t="s">
        <v>387</v>
      </c>
      <c r="B66" s="492" t="str">
        <f>IF(Eingabe!$L$108="Ausgabe vg Lüftung",IF(ISBLANK(Eingabe!$N100),"",Eingabe!$I100),"")</f>
        <v/>
      </c>
      <c r="C66" s="493"/>
      <c r="D66" s="493"/>
      <c r="E66" s="494"/>
      <c r="F66" s="99"/>
      <c r="G66" s="102" t="str">
        <f>IF($B66="",CHAR(111),IF(Eingabe!$AA$65="Abluftsystem",CHAR(254),CHAR(111)))</f>
        <v>o</v>
      </c>
      <c r="H66" s="4"/>
      <c r="I66" s="102" t="str">
        <f>IF($B66="",CHAR(111),IF(AND(Eingabe!$L$108="Ausgabe vg Lüftung",Eingabe!L100=""),CHAR(254),CHAR(111)))</f>
        <v>o</v>
      </c>
      <c r="J66" s="4"/>
      <c r="K66" s="102" t="str">
        <f>CHAR(111)</f>
        <v>o</v>
      </c>
      <c r="L66" s="495" t="str">
        <f>IF(ISTEXT(Eingabe!L100),CHAR(111),IF($B66="",CHAR(111),IF(OR(Eingabe!$AA$65="Zuluftsystem",Eingabe!$AA$65="Zu-/Abluft-System"),CHAR(254),CHAR(111))))</f>
        <v>o</v>
      </c>
      <c r="M66" s="496" t="str">
        <f>IF($B66="",CHAR(111),IF(Eingabe!$N$63="ventilatorgestützte Lüftung",CHAR(254),CHAR(111)))</f>
        <v>o</v>
      </c>
      <c r="N66" s="102" t="str">
        <f>IF($B66="",CHAR(111),IF(OR(Eingabe!$AA$65="Zuluftsystem",Eingabe!$AA$65="Zu-/Abluft-System"),CHAR(254),CHAR(111)))</f>
        <v>o</v>
      </c>
      <c r="O66" s="102" t="str">
        <f>CHAR(111)</f>
        <v>o</v>
      </c>
      <c r="P66" s="4"/>
      <c r="Q66" s="326" t="str">
        <f>IF(AND(ISTEXT(B66),ISTEXT(Eingabe!L100)),CHAR(254),CHAR(111))</f>
        <v>o</v>
      </c>
      <c r="R66" s="503"/>
      <c r="S66" s="504"/>
    </row>
    <row r="67" spans="1:19" ht="15" customHeight="1" x14ac:dyDescent="0.2">
      <c r="A67" s="223" t="s">
        <v>447</v>
      </c>
      <c r="B67" s="224" t="str">
        <f>IF(Eingabe!$L$108="Ausgabe vg Lüftung",IF(ISBLANK(Eingabe!$N100),"",Eingabe!$P100),"")</f>
        <v/>
      </c>
      <c r="C67" s="225"/>
      <c r="D67" s="100" t="s">
        <v>345</v>
      </c>
      <c r="E67" s="101" t="s">
        <v>389</v>
      </c>
      <c r="F67" s="92"/>
      <c r="G67" s="93" t="str">
        <f>IF(G66="o","-",$B67/Eingabe!$Z$101*$N$26)</f>
        <v>-</v>
      </c>
      <c r="H67" s="92"/>
      <c r="I67" s="93" t="str">
        <f>IF(I66="o","-",$B67/Eingabe!$Z$101*$N$28)</f>
        <v>-</v>
      </c>
      <c r="J67" s="73"/>
      <c r="K67" s="93" t="s">
        <v>37</v>
      </c>
      <c r="L67" s="524" t="str">
        <f>IF(L66="o","-",$B67/Eingabe!$Z$101*$N$32)</f>
        <v>-</v>
      </c>
      <c r="M67" s="525"/>
      <c r="N67" s="93" t="str">
        <f>IF(N66="o","-",$B67/Eingabe!$Z$101*$N$32)</f>
        <v>-</v>
      </c>
      <c r="O67" s="93" t="s">
        <v>37</v>
      </c>
      <c r="P67" s="73"/>
      <c r="Q67" s="93" t="str">
        <f>IF(Q66="o","-",$B67/Eingabe!$Z$101*$N$32)</f>
        <v>-</v>
      </c>
      <c r="R67" s="530"/>
      <c r="S67" s="531"/>
    </row>
    <row r="68" spans="1:19" s="5" customFormat="1" ht="15" customHeight="1" x14ac:dyDescent="0.2">
      <c r="A68" s="97" t="s">
        <v>387</v>
      </c>
      <c r="B68" s="492" t="str">
        <f>IF(Eingabe!$L$108="Ausgabe vg Lüftung",IF(ISBLANK(Eingabe!$N101),"",Eingabe!$I101),"")</f>
        <v/>
      </c>
      <c r="C68" s="493"/>
      <c r="D68" s="493"/>
      <c r="E68" s="494"/>
      <c r="F68" s="99"/>
      <c r="G68" s="102" t="str">
        <f>IF($B68="",CHAR(111),IF(Eingabe!$AA$65="Abluftsystem",CHAR(254),CHAR(111)))</f>
        <v>o</v>
      </c>
      <c r="H68" s="4"/>
      <c r="I68" s="102" t="str">
        <f>IF($B68="",CHAR(111),IF(AND(Eingabe!$L$108="Ausgabe vg Lüftung",Eingabe!L101=""),CHAR(254),CHAR(111)))</f>
        <v>o</v>
      </c>
      <c r="J68" s="4"/>
      <c r="K68" s="102" t="str">
        <f>CHAR(111)</f>
        <v>o</v>
      </c>
      <c r="L68" s="495" t="str">
        <f>IF(ISTEXT(Eingabe!L101),CHAR(111),IF($B68="",CHAR(111),IF(OR(Eingabe!$AA$65="Zuluftsystem",Eingabe!$AA$65="Zu-/Abluft-System"),CHAR(254),CHAR(111))))</f>
        <v>o</v>
      </c>
      <c r="M68" s="496" t="str">
        <f>IF($B68="",CHAR(111),IF(Eingabe!$N$63="ventilatorgestützte Lüftung",CHAR(254),CHAR(111)))</f>
        <v>o</v>
      </c>
      <c r="N68" s="102" t="str">
        <f>IF($B68="",CHAR(111),IF(OR(Eingabe!$AA$65="Zuluftsystem",Eingabe!$AA$65="Zu-/Abluft-System"),CHAR(254),CHAR(111)))</f>
        <v>o</v>
      </c>
      <c r="O68" s="102" t="str">
        <f>CHAR(111)</f>
        <v>o</v>
      </c>
      <c r="P68" s="4"/>
      <c r="Q68" s="326" t="str">
        <f>IF(AND(ISTEXT(B68),ISTEXT(Eingabe!L101)),CHAR(254),CHAR(111))</f>
        <v>o</v>
      </c>
      <c r="R68" s="503"/>
      <c r="S68" s="504"/>
    </row>
    <row r="69" spans="1:19" ht="15" customHeight="1" x14ac:dyDescent="0.2">
      <c r="A69" s="223" t="s">
        <v>447</v>
      </c>
      <c r="B69" s="224" t="str">
        <f>IF(Eingabe!$L$108="Ausgabe vg Lüftung",IF(ISBLANK(Eingabe!$N101),"",Eingabe!$P101),"")</f>
        <v/>
      </c>
      <c r="C69" s="225"/>
      <c r="D69" s="100" t="s">
        <v>345</v>
      </c>
      <c r="E69" s="101" t="s">
        <v>389</v>
      </c>
      <c r="F69" s="92"/>
      <c r="G69" s="93" t="str">
        <f>IF(G68="o","-",$B69/Eingabe!$Z$101*$N$26)</f>
        <v>-</v>
      </c>
      <c r="H69" s="92"/>
      <c r="I69" s="93" t="str">
        <f>IF(I68="o","-",$B69/Eingabe!$Z$101*$N$28)</f>
        <v>-</v>
      </c>
      <c r="J69" s="73"/>
      <c r="K69" s="93" t="s">
        <v>37</v>
      </c>
      <c r="L69" s="524" t="str">
        <f>IF(L68="o","-",$B69/Eingabe!$Z$101*$N$32)</f>
        <v>-</v>
      </c>
      <c r="M69" s="525"/>
      <c r="N69" s="93" t="str">
        <f>IF(N68="o","-",$B69/Eingabe!$Z$101*$N$32)</f>
        <v>-</v>
      </c>
      <c r="O69" s="93" t="s">
        <v>37</v>
      </c>
      <c r="P69" s="73"/>
      <c r="Q69" s="93" t="str">
        <f>IF(Q68="o","-",$B69/Eingabe!$Z$101*$N$32)</f>
        <v>-</v>
      </c>
      <c r="R69" s="530"/>
      <c r="S69" s="531"/>
    </row>
    <row r="70" spans="1:19" ht="15" customHeight="1" x14ac:dyDescent="0.2">
      <c r="A70" s="97" t="s">
        <v>387</v>
      </c>
      <c r="B70" s="492" t="str">
        <f>IF(Eingabe!$L$108="Ausgabe vg Lüftung",IF(ISBLANK(Eingabe!$N102),"",Eingabe!$I102),"")</f>
        <v/>
      </c>
      <c r="C70" s="493"/>
      <c r="D70" s="493"/>
      <c r="E70" s="494"/>
      <c r="F70" s="99"/>
      <c r="G70" s="102" t="str">
        <f>IF($B70="",CHAR(111),IF(Eingabe!$AA$65="Abluftsystem",CHAR(254),CHAR(111)))</f>
        <v>o</v>
      </c>
      <c r="H70" s="4"/>
      <c r="I70" s="102" t="str">
        <f>IF($B70="",CHAR(111),IF(AND(Eingabe!$L$108="Ausgabe vg Lüftung",Eingabe!L102=""),CHAR(254),CHAR(111)))</f>
        <v>o</v>
      </c>
      <c r="J70" s="4"/>
      <c r="K70" s="102" t="str">
        <f>CHAR(111)</f>
        <v>o</v>
      </c>
      <c r="L70" s="495" t="str">
        <f>IF(ISTEXT(Eingabe!L102),CHAR(111),IF($B70="",CHAR(111),IF(OR(Eingabe!$AA$65="Zuluftsystem",Eingabe!$AA$65="Zu-/Abluft-System"),CHAR(254),CHAR(111))))</f>
        <v>o</v>
      </c>
      <c r="M70" s="496" t="str">
        <f>IF($B70="",CHAR(111),IF(Eingabe!$N$63="ventilatorgestützte Lüftung",CHAR(254),CHAR(111)))</f>
        <v>o</v>
      </c>
      <c r="N70" s="102" t="str">
        <f>IF($B70="",CHAR(111),IF(OR(Eingabe!$AA$65="Zuluftsystem",Eingabe!$AA$65="Zu-/Abluft-System"),CHAR(254),CHAR(111)))</f>
        <v>o</v>
      </c>
      <c r="O70" s="102" t="str">
        <f>CHAR(111)</f>
        <v>o</v>
      </c>
      <c r="P70" s="4"/>
      <c r="Q70" s="326" t="str">
        <f>IF(AND(ISTEXT(B70),ISTEXT(Eingabe!L102)),CHAR(254),CHAR(111))</f>
        <v>o</v>
      </c>
      <c r="R70" s="503"/>
      <c r="S70" s="504"/>
    </row>
    <row r="71" spans="1:19" ht="15" customHeight="1" x14ac:dyDescent="0.2">
      <c r="A71" s="223" t="s">
        <v>447</v>
      </c>
      <c r="B71" s="224" t="str">
        <f>IF(Eingabe!$L$108="Ausgabe vg Lüftung",IF(ISBLANK(Eingabe!$N102),"",Eingabe!$P102),"")</f>
        <v/>
      </c>
      <c r="C71" s="225"/>
      <c r="D71" s="100" t="s">
        <v>345</v>
      </c>
      <c r="E71" s="101" t="s">
        <v>389</v>
      </c>
      <c r="F71" s="92"/>
      <c r="G71" s="93" t="str">
        <f>IF(G70="o","-",$B71/Eingabe!$Z$101*$N$26)</f>
        <v>-</v>
      </c>
      <c r="H71" s="92"/>
      <c r="I71" s="93" t="str">
        <f>IF(I70="o","-",$B71/Eingabe!$Z$101*$N$28)</f>
        <v>-</v>
      </c>
      <c r="J71" s="73"/>
      <c r="K71" s="93" t="s">
        <v>37</v>
      </c>
      <c r="L71" s="524" t="str">
        <f>IF(L70="o","-",$B71/Eingabe!$Z$101*$N$32)</f>
        <v>-</v>
      </c>
      <c r="M71" s="525"/>
      <c r="N71" s="93" t="str">
        <f>IF(N70="o","-",$B71/Eingabe!$Z$101*$N$32)</f>
        <v>-</v>
      </c>
      <c r="O71" s="93" t="s">
        <v>37</v>
      </c>
      <c r="P71" s="73"/>
      <c r="Q71" s="93" t="str">
        <f>IF(Q70="o","-",$B71/Eingabe!$Z$101*$N$32)</f>
        <v>-</v>
      </c>
      <c r="R71" s="530"/>
      <c r="S71" s="531"/>
    </row>
    <row r="72" spans="1:19" ht="15" customHeight="1" x14ac:dyDescent="0.2">
      <c r="A72" s="97" t="s">
        <v>387</v>
      </c>
      <c r="B72" s="492" t="str">
        <f>IF(Eingabe!$L$108="Ausgabe vg Lüftung",IF(ISBLANK(Eingabe!$N103),"",Eingabe!$I103),"")</f>
        <v/>
      </c>
      <c r="C72" s="493"/>
      <c r="D72" s="493"/>
      <c r="E72" s="494"/>
      <c r="F72" s="99"/>
      <c r="G72" s="102" t="str">
        <f>IF($B72="",CHAR(111),IF(Eingabe!$AA$65="Abluftsystem",CHAR(254),CHAR(111)))</f>
        <v>o</v>
      </c>
      <c r="H72" s="4"/>
      <c r="I72" s="102" t="str">
        <f>IF($B72="",CHAR(111),IF(AND(Eingabe!$L$108="Ausgabe vg Lüftung",Eingabe!L103=""),CHAR(254),CHAR(111)))</f>
        <v>o</v>
      </c>
      <c r="J72" s="4"/>
      <c r="K72" s="102" t="str">
        <f>CHAR(111)</f>
        <v>o</v>
      </c>
      <c r="L72" s="495" t="str">
        <f>IF(ISTEXT(Eingabe!L103),CHAR(111),IF($B72="",CHAR(111),IF(OR(Eingabe!$AA$65="Zuluftsystem",Eingabe!$AA$65="Zu-/Abluft-System"),CHAR(254),CHAR(111))))</f>
        <v>o</v>
      </c>
      <c r="M72" s="496" t="str">
        <f>IF($B72="",CHAR(111),IF(Eingabe!$N$63="ventilatorgestützte Lüftung",CHAR(254),CHAR(111)))</f>
        <v>o</v>
      </c>
      <c r="N72" s="102" t="str">
        <f>IF($B72="",CHAR(111),IF(OR(Eingabe!$AA$65="Zuluftsystem",Eingabe!$AA$65="Zu-/Abluft-System"),CHAR(254),CHAR(111)))</f>
        <v>o</v>
      </c>
      <c r="O72" s="102" t="str">
        <f>CHAR(111)</f>
        <v>o</v>
      </c>
      <c r="P72" s="4"/>
      <c r="Q72" s="326" t="str">
        <f>IF(AND(ISTEXT(B72),ISTEXT(Eingabe!L103)),CHAR(254),CHAR(111))</f>
        <v>o</v>
      </c>
      <c r="R72" s="503"/>
      <c r="S72" s="504"/>
    </row>
    <row r="73" spans="1:19" ht="15" customHeight="1" x14ac:dyDescent="0.2">
      <c r="A73" s="223" t="s">
        <v>447</v>
      </c>
      <c r="B73" s="224" t="str">
        <f>IF(Eingabe!$L$108="Ausgabe vg Lüftung",IF(ISBLANK(Eingabe!$N103),"",Eingabe!$P103),"")</f>
        <v/>
      </c>
      <c r="C73" s="225"/>
      <c r="D73" s="100" t="s">
        <v>345</v>
      </c>
      <c r="E73" s="101" t="s">
        <v>389</v>
      </c>
      <c r="F73" s="92"/>
      <c r="G73" s="93" t="str">
        <f>IF(G72="o","-",$B73/Eingabe!$Z$101*$N$26)</f>
        <v>-</v>
      </c>
      <c r="H73" s="92"/>
      <c r="I73" s="93" t="str">
        <f>IF(I72="o","-",$B73/Eingabe!$Z$101*$N$28)</f>
        <v>-</v>
      </c>
      <c r="J73" s="73"/>
      <c r="K73" s="93" t="s">
        <v>37</v>
      </c>
      <c r="L73" s="524" t="str">
        <f>IF(L72="o","-",$B73/Eingabe!$Z$101*$N$32)</f>
        <v>-</v>
      </c>
      <c r="M73" s="525"/>
      <c r="N73" s="93" t="str">
        <f>IF(N72="o","-",$B73/Eingabe!$Z$101*$N$32)</f>
        <v>-</v>
      </c>
      <c r="O73" s="93" t="s">
        <v>37</v>
      </c>
      <c r="P73" s="73"/>
      <c r="Q73" s="93" t="str">
        <f>IF(Q72="o","-",$B73/Eingabe!$Z$101*$N$32)</f>
        <v>-</v>
      </c>
      <c r="R73" s="530"/>
      <c r="S73" s="531"/>
    </row>
    <row r="74" spans="1:19" ht="15" customHeight="1" x14ac:dyDescent="0.2">
      <c r="A74" s="97" t="s">
        <v>387</v>
      </c>
      <c r="B74" s="492" t="str">
        <f>IF(Eingabe!$L$108="Ausgabe vg Lüftung",IF(ISBLANK(Eingabe!$N104),"",Eingabe!$I104),"")</f>
        <v/>
      </c>
      <c r="C74" s="493"/>
      <c r="D74" s="493"/>
      <c r="E74" s="494"/>
      <c r="F74" s="99"/>
      <c r="G74" s="102" t="str">
        <f>IF($B74="",CHAR(111),IF(Eingabe!$AA$65="Abluftsystem",CHAR(254),CHAR(111)))</f>
        <v>o</v>
      </c>
      <c r="H74" s="4"/>
      <c r="I74" s="102" t="str">
        <f>IF($B74="",CHAR(111),IF(AND(Eingabe!$L$108="Ausgabe vg Lüftung",Eingabe!L104=""),CHAR(254),CHAR(111)))</f>
        <v>o</v>
      </c>
      <c r="J74" s="4"/>
      <c r="K74" s="102" t="str">
        <f>CHAR(111)</f>
        <v>o</v>
      </c>
      <c r="L74" s="495" t="str">
        <f>IF(ISTEXT(Eingabe!L104),CHAR(111),IF($B74="",CHAR(111),IF(OR(Eingabe!$AA$65="Zuluftsystem",Eingabe!$AA$65="Zu-/Abluft-System"),CHAR(254),CHAR(111))))</f>
        <v>o</v>
      </c>
      <c r="M74" s="496" t="str">
        <f>IF($B74="",CHAR(111),IF(Eingabe!$N$63="ventilatorgestützte Lüftung",CHAR(254),CHAR(111)))</f>
        <v>o</v>
      </c>
      <c r="N74" s="102" t="str">
        <f>IF($B74="",CHAR(111),IF(OR(Eingabe!$AA$65="Zuluftsystem",Eingabe!$AA$65="Zu-/Abluft-System"),CHAR(254),CHAR(111)))</f>
        <v>o</v>
      </c>
      <c r="O74" s="102" t="str">
        <f>CHAR(111)</f>
        <v>o</v>
      </c>
      <c r="P74" s="4"/>
      <c r="Q74" s="326" t="str">
        <f>IF(AND(ISTEXT(B74),ISTEXT(Eingabe!L104)),CHAR(254),CHAR(111))</f>
        <v>o</v>
      </c>
      <c r="R74" s="503"/>
      <c r="S74" s="504"/>
    </row>
    <row r="75" spans="1:19" ht="15" customHeight="1" x14ac:dyDescent="0.2">
      <c r="A75" s="223" t="s">
        <v>447</v>
      </c>
      <c r="B75" s="224" t="str">
        <f>IF(Eingabe!$L$108="Ausgabe vg Lüftung",IF(ISBLANK(Eingabe!$N104),"",Eingabe!$P104),"")</f>
        <v/>
      </c>
      <c r="C75" s="225"/>
      <c r="D75" s="100" t="s">
        <v>345</v>
      </c>
      <c r="E75" s="101" t="s">
        <v>389</v>
      </c>
      <c r="F75" s="92"/>
      <c r="G75" s="93" t="str">
        <f>IF(G74="o","-",$B75/Eingabe!$Z$101*$N$26)</f>
        <v>-</v>
      </c>
      <c r="H75" s="92"/>
      <c r="I75" s="93" t="str">
        <f>IF(I74="o","-",$B75/Eingabe!$Z$101*$N$28)</f>
        <v>-</v>
      </c>
      <c r="J75" s="73"/>
      <c r="K75" s="93" t="s">
        <v>37</v>
      </c>
      <c r="L75" s="524" t="str">
        <f>IF(L74="o","-",$B75/Eingabe!$Z$101*$N$32)</f>
        <v>-</v>
      </c>
      <c r="M75" s="525"/>
      <c r="N75" s="93" t="str">
        <f>IF(N74="o","-",$B75/Eingabe!$Z$101*$N$32)</f>
        <v>-</v>
      </c>
      <c r="O75" s="93" t="s">
        <v>37</v>
      </c>
      <c r="P75" s="73"/>
      <c r="Q75" s="93" t="str">
        <f>IF(Q74="o","-",$B75/Eingabe!$Z$101*$N$32)</f>
        <v>-</v>
      </c>
      <c r="R75" s="530"/>
      <c r="S75" s="531"/>
    </row>
    <row r="76" spans="1:19" ht="15" customHeight="1" x14ac:dyDescent="0.2">
      <c r="A76" s="97" t="s">
        <v>387</v>
      </c>
      <c r="B76" s="492" t="str">
        <f>IF(Eingabe!$L$108="Ausgabe vg Lüftung",IF(ISBLANK(Eingabe!$N105),"",Eingabe!$I105),"")</f>
        <v/>
      </c>
      <c r="C76" s="493"/>
      <c r="D76" s="493"/>
      <c r="E76" s="494"/>
      <c r="F76" s="99"/>
      <c r="G76" s="102" t="str">
        <f>IF($B76="",CHAR(111),IF(Eingabe!$AA$65="Abluftsystem",CHAR(254),CHAR(111)))</f>
        <v>o</v>
      </c>
      <c r="H76" s="4"/>
      <c r="I76" s="102" t="str">
        <f>IF($B76="",CHAR(111),IF(AND(Eingabe!$L$108="Ausgabe vg Lüftung",Eingabe!L105=""),CHAR(254),CHAR(111)))</f>
        <v>o</v>
      </c>
      <c r="J76" s="4"/>
      <c r="K76" s="102" t="str">
        <f>CHAR(111)</f>
        <v>o</v>
      </c>
      <c r="L76" s="495" t="str">
        <f>IF(ISTEXT(Eingabe!L105),CHAR(111),IF($B76="",CHAR(111),IF(OR(Eingabe!$AA$65="Zuluftsystem",Eingabe!$AA$65="Zu-/Abluft-System"),CHAR(254),CHAR(111))))</f>
        <v>o</v>
      </c>
      <c r="M76" s="496" t="str">
        <f>IF($B76="",CHAR(111),IF(Eingabe!$N$63="ventilatorgestützte Lüftung",CHAR(254),CHAR(111)))</f>
        <v>o</v>
      </c>
      <c r="N76" s="102" t="str">
        <f>IF($B76="",CHAR(111),IF(OR(Eingabe!$AA$65="Zuluftsystem",Eingabe!$AA$65="Zu-/Abluft-System"),CHAR(254),CHAR(111)))</f>
        <v>o</v>
      </c>
      <c r="O76" s="102" t="str">
        <f>CHAR(111)</f>
        <v>o</v>
      </c>
      <c r="P76" s="4"/>
      <c r="Q76" s="326" t="str">
        <f>IF(AND(ISTEXT(B76),ISTEXT(Eingabe!L105)),CHAR(254),CHAR(111))</f>
        <v>o</v>
      </c>
      <c r="R76" s="503"/>
      <c r="S76" s="504"/>
    </row>
    <row r="77" spans="1:19" ht="15" customHeight="1" x14ac:dyDescent="0.2">
      <c r="A77" s="258" t="s">
        <v>447</v>
      </c>
      <c r="B77" s="259" t="str">
        <f>IF(Eingabe!$L$108="Ausgabe vg Lüftung",IF(ISBLANK(Eingabe!$N105),"",Eingabe!$P105),"")</f>
        <v/>
      </c>
      <c r="C77" s="260"/>
      <c r="D77" s="91" t="s">
        <v>345</v>
      </c>
      <c r="E77" s="110" t="s">
        <v>389</v>
      </c>
      <c r="F77" s="111"/>
      <c r="G77" s="112" t="str">
        <f>IF(G76="o","-",$B77/Eingabe!$Z$101*$N$26)</f>
        <v>-</v>
      </c>
      <c r="H77" s="111"/>
      <c r="I77" s="112" t="str">
        <f>IF(I76="o","-",$B77/Eingabe!$Z$101*$N$28)</f>
        <v>-</v>
      </c>
      <c r="J77" s="113"/>
      <c r="K77" s="112" t="s">
        <v>37</v>
      </c>
      <c r="L77" s="532" t="str">
        <f>IF(L76="o","-",$B77/Eingabe!$Z$101*$N$32)</f>
        <v>-</v>
      </c>
      <c r="M77" s="533"/>
      <c r="N77" s="112" t="str">
        <f>IF(N76="o","-",$B77/Eingabe!$Z$101*$N$32)</f>
        <v>-</v>
      </c>
      <c r="O77" s="112" t="s">
        <v>37</v>
      </c>
      <c r="P77" s="113"/>
      <c r="Q77" s="112" t="str">
        <f>IF(Q76="o","-",$B77/Eingabe!$Z$101*$N$32)</f>
        <v>-</v>
      </c>
      <c r="R77" s="534"/>
      <c r="S77" s="535"/>
    </row>
    <row r="78" spans="1:19" ht="18" customHeight="1" x14ac:dyDescent="0.2">
      <c r="A78" s="116"/>
      <c r="B78" s="17"/>
      <c r="C78" s="90" t="s">
        <v>390</v>
      </c>
      <c r="D78" s="255" t="s">
        <v>391</v>
      </c>
      <c r="E78" s="256" t="s">
        <v>389</v>
      </c>
      <c r="F78" s="17"/>
      <c r="G78" s="257" t="str">
        <f>IF($B48="","-",IF(G48="o","-",IF(G48="þ",SUM(G48:G77),0)))</f>
        <v>-</v>
      </c>
      <c r="H78" s="17"/>
      <c r="I78" s="257" t="str">
        <f>IF($B48="","-",IF(I48="o","-",IF(I48="þ",SUM(I48:I77),0)))</f>
        <v>-</v>
      </c>
      <c r="J78" s="17"/>
      <c r="K78" s="257" t="str">
        <f>IF($B48="","-",IF(K48="o","-",IF(K48="þ",SUM(K48:K77),0)))</f>
        <v>-</v>
      </c>
      <c r="L78" s="536" t="str">
        <f>IF($B48="","-",IF(L48="o","-",IF(L48="þ",SUM(L48:L77),0)))</f>
        <v>-</v>
      </c>
      <c r="M78" s="537"/>
      <c r="N78" s="257" t="str">
        <f>IF($B48="","-",IF(N48="o","-",IF(N48="þ",SUM(N48:N77),0)))</f>
        <v>-</v>
      </c>
      <c r="O78" s="257" t="str">
        <f>IF($B48="","-",IF(O48="o","-",IF(O48="þ",SUM(O48:O77),0)))</f>
        <v>-</v>
      </c>
      <c r="P78" s="17"/>
      <c r="Q78" s="257" t="str">
        <f>IF($B48="","-",IF(Q48="o","-",IF(Q48="þ",SUM(Q48:Q77),0)))</f>
        <v>-</v>
      </c>
      <c r="R78" s="538"/>
      <c r="S78" s="539"/>
    </row>
    <row r="79" spans="1:19" ht="18" customHeight="1" x14ac:dyDescent="0.2">
      <c r="A79" s="33"/>
      <c r="B79" s="4"/>
      <c r="C79" s="263"/>
      <c r="D79" s="266"/>
      <c r="E79" s="267"/>
      <c r="F79" s="4"/>
      <c r="G79" s="268"/>
      <c r="H79" s="4"/>
      <c r="I79" s="268"/>
      <c r="J79" s="4"/>
      <c r="K79" s="268"/>
      <c r="L79" s="268"/>
      <c r="M79" s="268"/>
      <c r="N79" s="268"/>
      <c r="O79" s="268"/>
      <c r="P79" s="4"/>
      <c r="Q79" s="4"/>
      <c r="R79" s="74"/>
      <c r="S79" s="74"/>
    </row>
    <row r="80" spans="1:19" ht="18" customHeight="1" x14ac:dyDescent="0.3">
      <c r="A80" s="264" t="s">
        <v>459</v>
      </c>
      <c r="B80" s="54"/>
      <c r="C80" s="54"/>
      <c r="D80" s="54"/>
      <c r="E80" s="54"/>
      <c r="F80" s="54"/>
      <c r="G80" s="54"/>
      <c r="H80" s="54"/>
      <c r="I80" s="54"/>
      <c r="J80" s="54"/>
      <c r="L80" s="265" t="s">
        <v>461</v>
      </c>
      <c r="M80" s="268"/>
      <c r="N80" s="268"/>
      <c r="O80" s="268"/>
      <c r="P80" s="4"/>
      <c r="Q80" s="4"/>
      <c r="R80" s="74"/>
      <c r="S80" s="74"/>
    </row>
    <row r="81" spans="1:19" ht="35.1" customHeight="1" x14ac:dyDescent="0.2"/>
    <row r="82" spans="1:19" ht="18" customHeight="1" x14ac:dyDescent="0.2">
      <c r="A82" s="36"/>
      <c r="B82" s="11"/>
      <c r="C82" s="11"/>
      <c r="D82" s="484" t="s">
        <v>379</v>
      </c>
      <c r="E82" s="485"/>
      <c r="F82" s="485"/>
      <c r="G82" s="485"/>
      <c r="H82" s="485"/>
      <c r="I82" s="485"/>
      <c r="J82" s="485"/>
      <c r="K82" s="485"/>
      <c r="L82" s="486"/>
      <c r="M82" s="11"/>
      <c r="N82" s="487" t="str">
        <f>IF(Eingabe!$L$108="Ausgabe vg Lüftung",Eingabe!$AA$65,"siehe Ausgabe freie Lüftung!")</f>
        <v>siehe Ausgabe freie Lüftung!</v>
      </c>
      <c r="O82" s="488"/>
      <c r="P82" s="488"/>
      <c r="Q82" s="488"/>
      <c r="R82" s="488"/>
      <c r="S82" s="489"/>
    </row>
    <row r="83" spans="1:19" ht="9.9499999999999993" customHeight="1" x14ac:dyDescent="0.2">
      <c r="A83" s="51"/>
      <c r="B83" s="50"/>
      <c r="C83" s="50"/>
      <c r="D83" s="50"/>
      <c r="E83" s="50"/>
      <c r="F83" s="50"/>
      <c r="G83" s="50"/>
      <c r="H83" s="50"/>
      <c r="I83" s="50"/>
      <c r="J83" s="50"/>
      <c r="K83" s="50"/>
      <c r="L83" s="50"/>
      <c r="M83" s="50"/>
      <c r="N83" s="50"/>
      <c r="O83" s="50"/>
      <c r="P83" s="50"/>
      <c r="Q83" s="50"/>
      <c r="R83" s="50"/>
      <c r="S83" s="52"/>
    </row>
    <row r="84" spans="1:19" s="5" customFormat="1" ht="18" customHeight="1" x14ac:dyDescent="0.2">
      <c r="A84" s="44" t="s">
        <v>392</v>
      </c>
      <c r="B84" s="11"/>
      <c r="C84" s="11"/>
      <c r="D84" s="11"/>
      <c r="E84" s="11"/>
      <c r="F84" s="11"/>
      <c r="G84" s="105" t="s">
        <v>366</v>
      </c>
      <c r="H84" s="106"/>
      <c r="I84" s="105" t="s">
        <v>367</v>
      </c>
      <c r="J84" s="106"/>
      <c r="K84" s="105" t="s">
        <v>383</v>
      </c>
      <c r="L84" s="505" t="s">
        <v>385</v>
      </c>
      <c r="M84" s="506"/>
      <c r="N84" s="107" t="s">
        <v>445</v>
      </c>
      <c r="O84" s="107" t="s">
        <v>368</v>
      </c>
      <c r="P84" s="106"/>
      <c r="Q84" s="105" t="s">
        <v>369</v>
      </c>
      <c r="R84" s="528"/>
      <c r="S84" s="529"/>
    </row>
    <row r="85" spans="1:19" ht="15" customHeight="1" x14ac:dyDescent="0.2">
      <c r="A85" s="97" t="s">
        <v>387</v>
      </c>
      <c r="B85" s="492" t="str">
        <f>IF(Eingabe!$L$108="Ausgabe vg Lüftung",IF(ISBLANK(Eingabe!$N74),"",Eingabe!$I74),"")</f>
        <v/>
      </c>
      <c r="C85" s="493"/>
      <c r="D85" s="493"/>
      <c r="E85" s="494"/>
      <c r="F85" s="99"/>
      <c r="G85" s="102" t="str">
        <f>IF($B85="",CHAR(111),IF(OR(Eingabe!$AA$65="Abluftsystem",Eingabe!$AA$65="Zuluftsystem"),CHAR(254),CHAR(111)))</f>
        <v>o</v>
      </c>
      <c r="H85" s="4"/>
      <c r="I85" s="102" t="str">
        <f>IF($B85="",CHAR(111),IF(AND(Eingabe!$L$108="Ausgabe vg Lüftung",Eingabe!L74=""),CHAR(254),CHAR(111)))</f>
        <v>o</v>
      </c>
      <c r="J85" s="4"/>
      <c r="K85" s="102" t="str">
        <f>IF(ISTEXT(Eingabe!L74),CHAR(111),IF($B85="",CHAR(111),IF(OR(Eingabe!$AA$65="Abluftsystem",Eingabe!$AA$65="Zuluftsystem",Eingabe!$AA$65="Zu-/Abluft-System"),CHAR(254),CHAR(111))))</f>
        <v>o</v>
      </c>
      <c r="L85" s="495" t="str">
        <f>CHAR(111)</f>
        <v>o</v>
      </c>
      <c r="M85" s="496"/>
      <c r="N85" s="102" t="str">
        <f>IF($B85="",CHAR(111),IF(OR(Eingabe!$AA$65="Abluftsystem",Eingabe!$AA$65="Zu-/Abluft-System"),CHAR(254),CHAR(111)))</f>
        <v>o</v>
      </c>
      <c r="O85" s="102" t="str">
        <f>IF($B85="",CHAR(111),IF(AND(Eingabe!$AA$65="Zuluftsystem",$Z$16="ja"),CHAR(254),CHAR(111)))</f>
        <v>o</v>
      </c>
      <c r="P85" s="4"/>
      <c r="Q85" s="326" t="str">
        <f>IF(AND(ISTEXT(B85),ISTEXT(Eingabe!L74)),CHAR(254),CHAR(111))</f>
        <v>o</v>
      </c>
      <c r="R85" s="497"/>
      <c r="S85" s="498"/>
    </row>
    <row r="86" spans="1:19" ht="15" customHeight="1" x14ac:dyDescent="0.2">
      <c r="A86" s="98" t="s">
        <v>386</v>
      </c>
      <c r="B86" s="28" t="str">
        <f>IF(Eingabe!$L$108="Ausgabe vg Lüftung",IF(ISBLANK(Eingabe!$N74),"",Eingabe!$Q74),"")</f>
        <v/>
      </c>
      <c r="C86" s="28" t="s">
        <v>25</v>
      </c>
      <c r="D86" s="100" t="s">
        <v>345</v>
      </c>
      <c r="E86" s="101" t="s">
        <v>389</v>
      </c>
      <c r="F86" s="92"/>
      <c r="G86" s="93" t="str">
        <f>IF(G85="o","-",Eingabe!$Z69/Eingabe!$Z$84*$N$26)</f>
        <v>-</v>
      </c>
      <c r="H86" s="92"/>
      <c r="I86" s="93" t="str">
        <f>IF(I85="o","-",Eingabe!$Z69/Eingabe!$Z$84*$N$28)</f>
        <v>-</v>
      </c>
      <c r="J86" s="73"/>
      <c r="K86" s="93" t="str">
        <f>IF(K85="o","-",Eingabe!$Z69/Eingabe!$Z$84*$N$32)</f>
        <v>-</v>
      </c>
      <c r="L86" s="499" t="s">
        <v>37</v>
      </c>
      <c r="M86" s="500"/>
      <c r="N86" s="93" t="str">
        <f>IF(N85="o","-",Eingabe!$Z69/Eingabe!$Z$84*$N$32)</f>
        <v>-</v>
      </c>
      <c r="O86" s="93" t="str">
        <f>IF(O85="o","-",Eingabe!$Z69/Eingabe!$Z$84*$N$30)</f>
        <v>-</v>
      </c>
      <c r="P86" s="73"/>
      <c r="Q86" s="93" t="str">
        <f>IF(Q85="o","-",Eingabe!$Z69/Eingabe!$Z$84*$N$32)</f>
        <v>-</v>
      </c>
      <c r="R86" s="526"/>
      <c r="S86" s="527"/>
    </row>
    <row r="87" spans="1:19" ht="15" customHeight="1" x14ac:dyDescent="0.2">
      <c r="A87" s="97" t="s">
        <v>387</v>
      </c>
      <c r="B87" s="492" t="str">
        <f>IF(Eingabe!$L$108="Ausgabe vg Lüftung",IF(ISBLANK(Eingabe!$N75),"",Eingabe!$I75),"")</f>
        <v/>
      </c>
      <c r="C87" s="493"/>
      <c r="D87" s="493"/>
      <c r="E87" s="494"/>
      <c r="F87" s="99"/>
      <c r="G87" s="102" t="str">
        <f>IF($B87="",CHAR(111),IF(OR(Eingabe!$AA$65="Abluftsystem",Eingabe!$AA$65="Zuluftsystem"),CHAR(254),CHAR(111)))</f>
        <v>o</v>
      </c>
      <c r="H87" s="4"/>
      <c r="I87" s="102" t="str">
        <f>IF($B87="",CHAR(111),IF(AND(Eingabe!$L$108="Ausgabe vg Lüftung",Eingabe!L75=""),CHAR(254),CHAR(111)))</f>
        <v>o</v>
      </c>
      <c r="J87" s="4"/>
      <c r="K87" s="102" t="str">
        <f>IF(ISTEXT(Eingabe!L75),CHAR(111),IF($B87="",CHAR(111),IF(OR(Eingabe!$AA$65="Abluftsystem",Eingabe!$AA$65="Zuluftsystem",Eingabe!$AA$65="Zu-/Abluft-System"),CHAR(254),CHAR(111))))</f>
        <v>o</v>
      </c>
      <c r="L87" s="495" t="str">
        <f>CHAR(111)</f>
        <v>o</v>
      </c>
      <c r="M87" s="496"/>
      <c r="N87" s="102" t="str">
        <f>IF($B87="",CHAR(111),IF(OR(Eingabe!$AA$65="Abluftsystem",Eingabe!$AA$65="Zu-/Abluft-System"),CHAR(254),CHAR(111)))</f>
        <v>o</v>
      </c>
      <c r="O87" s="102" t="str">
        <f>IF($B87="",CHAR(111),IF(AND(Eingabe!$AA$65="Zuluftsystem",$Z$16="ja"),CHAR(254),CHAR(111)))</f>
        <v>o</v>
      </c>
      <c r="P87" s="4"/>
      <c r="Q87" s="326" t="str">
        <f>IF(AND(ISTEXT(B87),ISTEXT(Eingabe!L75)),CHAR(254),CHAR(111))</f>
        <v>o</v>
      </c>
      <c r="R87" s="497"/>
      <c r="S87" s="498"/>
    </row>
    <row r="88" spans="1:19" ht="15" customHeight="1" x14ac:dyDescent="0.2">
      <c r="A88" s="98" t="s">
        <v>386</v>
      </c>
      <c r="B88" s="28" t="str">
        <f>IF(Eingabe!$L$108="Ausgabe vg Lüftung",IF(ISBLANK(Eingabe!$N75),"",Eingabe!$Q75),"")</f>
        <v/>
      </c>
      <c r="C88" s="28" t="s">
        <v>25</v>
      </c>
      <c r="D88" s="100" t="s">
        <v>345</v>
      </c>
      <c r="E88" s="101" t="s">
        <v>389</v>
      </c>
      <c r="F88" s="92"/>
      <c r="G88" s="93" t="str">
        <f>IF(G87="o","-",Eingabe!$Z70/Eingabe!$Z$84*$N$26)</f>
        <v>-</v>
      </c>
      <c r="H88" s="92"/>
      <c r="I88" s="93" t="str">
        <f>IF(I87="o","-",Eingabe!$Z70/Eingabe!$Z$84*$N$28)</f>
        <v>-</v>
      </c>
      <c r="J88" s="73"/>
      <c r="K88" s="93" t="str">
        <f>IF(K87="o","-",Eingabe!$Z70/Eingabe!$Z$84*$N$32)</f>
        <v>-</v>
      </c>
      <c r="L88" s="499" t="s">
        <v>37</v>
      </c>
      <c r="M88" s="500"/>
      <c r="N88" s="93" t="str">
        <f>IF(N87="o","-",Eingabe!$Z70/Eingabe!$Z$84*$N$32)</f>
        <v>-</v>
      </c>
      <c r="O88" s="93" t="str">
        <f>IF(O87="o","-",Eingabe!$Z70/Eingabe!$Z$84*$N$30)</f>
        <v>-</v>
      </c>
      <c r="P88" s="73"/>
      <c r="Q88" s="93" t="str">
        <f>IF(Q87="o","-",Eingabe!$Z70/Eingabe!$Z$84*$N$32)</f>
        <v>-</v>
      </c>
      <c r="R88" s="526"/>
      <c r="S88" s="527"/>
    </row>
    <row r="89" spans="1:19" ht="15" customHeight="1" x14ac:dyDescent="0.2">
      <c r="A89" s="97" t="s">
        <v>387</v>
      </c>
      <c r="B89" s="492" t="str">
        <f>IF(Eingabe!$L$108="Ausgabe vg Lüftung",IF(ISBLANK(Eingabe!$N76),"",Eingabe!$I76),"")</f>
        <v/>
      </c>
      <c r="C89" s="493"/>
      <c r="D89" s="493"/>
      <c r="E89" s="494"/>
      <c r="F89" s="99"/>
      <c r="G89" s="102" t="str">
        <f>IF($B89="",CHAR(111),IF(OR(Eingabe!$AA$65="Abluftsystem",Eingabe!$AA$65="Zuluftsystem"),CHAR(254),CHAR(111)))</f>
        <v>o</v>
      </c>
      <c r="H89" s="4"/>
      <c r="I89" s="102" t="str">
        <f>IF($B89="",CHAR(111),IF(AND(Eingabe!$L$108="Ausgabe vg Lüftung",Eingabe!L76=""),CHAR(254),CHAR(111)))</f>
        <v>o</v>
      </c>
      <c r="J89" s="4"/>
      <c r="K89" s="102" t="str">
        <f>IF(ISTEXT(Eingabe!L76),CHAR(111),IF($B89="",CHAR(111),IF(OR(Eingabe!$AA$65="Abluftsystem",Eingabe!$AA$65="Zuluftsystem",Eingabe!$AA$65="Zu-/Abluft-System"),CHAR(254),CHAR(111))))</f>
        <v>o</v>
      </c>
      <c r="L89" s="495" t="str">
        <f>CHAR(111)</f>
        <v>o</v>
      </c>
      <c r="M89" s="496"/>
      <c r="N89" s="102" t="str">
        <f>IF($B89="",CHAR(111),IF(OR(Eingabe!$AA$65="Abluftsystem",Eingabe!$AA$65="Zu-/Abluft-System"),CHAR(254),CHAR(111)))</f>
        <v>o</v>
      </c>
      <c r="O89" s="102" t="str">
        <f>IF($B89="",CHAR(111),IF(AND(Eingabe!$AA$65="Zuluftsystem",$Z$16="ja"),CHAR(254),CHAR(111)))</f>
        <v>o</v>
      </c>
      <c r="P89" s="4"/>
      <c r="Q89" s="326" t="str">
        <f>IF(AND(ISTEXT(B89),ISTEXT(Eingabe!L76)),CHAR(254),CHAR(111))</f>
        <v>o</v>
      </c>
      <c r="R89" s="503"/>
      <c r="S89" s="504"/>
    </row>
    <row r="90" spans="1:19" ht="15" customHeight="1" x14ac:dyDescent="0.2">
      <c r="A90" s="98" t="s">
        <v>386</v>
      </c>
      <c r="B90" s="28" t="str">
        <f>IF(Eingabe!$L$108="Ausgabe vg Lüftung",IF(ISBLANK(Eingabe!$N76),"",Eingabe!$Q76),"")</f>
        <v/>
      </c>
      <c r="C90" s="28" t="s">
        <v>25</v>
      </c>
      <c r="D90" s="100" t="s">
        <v>345</v>
      </c>
      <c r="E90" s="101" t="s">
        <v>389</v>
      </c>
      <c r="F90" s="92"/>
      <c r="G90" s="93" t="str">
        <f>IF(G89="o","-",Eingabe!$Z71/Eingabe!$Z$84*$N$26)</f>
        <v>-</v>
      </c>
      <c r="H90" s="92"/>
      <c r="I90" s="93" t="str">
        <f>IF(I89="o","-",Eingabe!$Z71/Eingabe!$Z$84*$N$28)</f>
        <v>-</v>
      </c>
      <c r="J90" s="73"/>
      <c r="K90" s="93" t="str">
        <f>IF(K89="o","-",Eingabe!$Z71/Eingabe!$Z$84*$N$32)</f>
        <v>-</v>
      </c>
      <c r="L90" s="499" t="s">
        <v>37</v>
      </c>
      <c r="M90" s="500"/>
      <c r="N90" s="93" t="str">
        <f>IF(N89="o","-",Eingabe!$Z71/Eingabe!$Z$84*$N$32)</f>
        <v>-</v>
      </c>
      <c r="O90" s="93" t="str">
        <f>IF(O89="o","-",Eingabe!$Z71/Eingabe!$Z$84*$N$30)</f>
        <v>-</v>
      </c>
      <c r="P90" s="73"/>
      <c r="Q90" s="93" t="str">
        <f>IF(Q89="o","-",Eingabe!$Z71/Eingabe!$Z$84*$N$32)</f>
        <v>-</v>
      </c>
      <c r="R90" s="530"/>
      <c r="S90" s="531"/>
    </row>
    <row r="91" spans="1:19" ht="15" customHeight="1" x14ac:dyDescent="0.2">
      <c r="A91" s="97" t="s">
        <v>387</v>
      </c>
      <c r="B91" s="492" t="str">
        <f>IF(Eingabe!$L$108="Ausgabe vg Lüftung",IF(ISBLANK(Eingabe!$N77),"",Eingabe!$I77),"")</f>
        <v/>
      </c>
      <c r="C91" s="493"/>
      <c r="D91" s="493"/>
      <c r="E91" s="494"/>
      <c r="F91" s="99"/>
      <c r="G91" s="102" t="str">
        <f>IF($B91="",CHAR(111),IF(OR(Eingabe!$AA$65="Abluftsystem",Eingabe!$AA$65="Zuluftsystem"),CHAR(254),CHAR(111)))</f>
        <v>o</v>
      </c>
      <c r="H91" s="4"/>
      <c r="I91" s="102" t="str">
        <f>IF($B91="",CHAR(111),IF(AND(Eingabe!$L$108="Ausgabe vg Lüftung",Eingabe!L77=""),CHAR(254),CHAR(111)))</f>
        <v>o</v>
      </c>
      <c r="J91" s="4"/>
      <c r="K91" s="102" t="str">
        <f>IF(ISTEXT(Eingabe!L77),CHAR(111),IF($B91="",CHAR(111),IF(OR(Eingabe!$AA$65="Abluftsystem",Eingabe!$AA$65="Zuluftsystem",Eingabe!$AA$65="Zu-/Abluft-System"),CHAR(254),CHAR(111))))</f>
        <v>o</v>
      </c>
      <c r="L91" s="495" t="str">
        <f>CHAR(111)</f>
        <v>o</v>
      </c>
      <c r="M91" s="496"/>
      <c r="N91" s="102" t="str">
        <f>IF($B91="",CHAR(111),IF(OR(Eingabe!$AA$65="Abluftsystem",Eingabe!$AA$65="Zu-/Abluft-System"),CHAR(254),CHAR(111)))</f>
        <v>o</v>
      </c>
      <c r="O91" s="102" t="str">
        <f>IF($B91="",CHAR(111),IF(AND(Eingabe!$AA$65="Zuluftsystem",$Z$16="ja"),CHAR(254),CHAR(111)))</f>
        <v>o</v>
      </c>
      <c r="P91" s="4"/>
      <c r="Q91" s="326" t="str">
        <f>IF(AND(ISTEXT(B91),ISTEXT(Eingabe!L78)),CHAR(254),CHAR(111))</f>
        <v>o</v>
      </c>
      <c r="R91" s="503"/>
      <c r="S91" s="504"/>
    </row>
    <row r="92" spans="1:19" ht="15" customHeight="1" x14ac:dyDescent="0.2">
      <c r="A92" s="98" t="s">
        <v>386</v>
      </c>
      <c r="B92" s="28" t="str">
        <f>IF(Eingabe!$L$108="Ausgabe vg Lüftung",IF(ISBLANK(Eingabe!$N77),"",Eingabe!$Q77),"")</f>
        <v/>
      </c>
      <c r="C92" s="28" t="s">
        <v>25</v>
      </c>
      <c r="D92" s="100" t="s">
        <v>345</v>
      </c>
      <c r="E92" s="101" t="s">
        <v>389</v>
      </c>
      <c r="F92" s="92"/>
      <c r="G92" s="93" t="str">
        <f>IF(G91="o","-",Eingabe!$Z72/Eingabe!$Z$84*$N$26)</f>
        <v>-</v>
      </c>
      <c r="H92" s="92"/>
      <c r="I92" s="93" t="str">
        <f>IF(I91="o","-",Eingabe!$Z72/Eingabe!$Z$84*$N$28)</f>
        <v>-</v>
      </c>
      <c r="J92" s="73"/>
      <c r="K92" s="93" t="str">
        <f>IF(K91="o","-",Eingabe!$Z72/Eingabe!$Z$84*$N$32)</f>
        <v>-</v>
      </c>
      <c r="L92" s="499" t="s">
        <v>37</v>
      </c>
      <c r="M92" s="500"/>
      <c r="N92" s="93" t="str">
        <f>IF(N91="o","-",Eingabe!$Z72/Eingabe!$Z$84*$N$32)</f>
        <v>-</v>
      </c>
      <c r="O92" s="93" t="str">
        <f>IF(O91="o","-",Eingabe!$Z72/Eingabe!$Z$84*$N$30)</f>
        <v>-</v>
      </c>
      <c r="P92" s="73"/>
      <c r="Q92" s="93" t="str">
        <f>IF(Q91="o","-",Eingabe!$Z72/Eingabe!$Z$84*$N$32)</f>
        <v>-</v>
      </c>
      <c r="R92" s="530"/>
      <c r="S92" s="531"/>
    </row>
    <row r="93" spans="1:19" ht="15" customHeight="1" x14ac:dyDescent="0.2">
      <c r="A93" s="97" t="s">
        <v>387</v>
      </c>
      <c r="B93" s="492" t="str">
        <f>IF(Eingabe!$L$108="Ausgabe vg Lüftung",IF(ISBLANK(Eingabe!$N78),"",Eingabe!$I78),"")</f>
        <v/>
      </c>
      <c r="C93" s="493"/>
      <c r="D93" s="493"/>
      <c r="E93" s="494"/>
      <c r="F93" s="99"/>
      <c r="G93" s="102" t="str">
        <f>IF($B93="",CHAR(111),IF(OR(Eingabe!$AA$65="Abluftsystem",Eingabe!$AA$65="Zuluftsystem"),CHAR(254),CHAR(111)))</f>
        <v>o</v>
      </c>
      <c r="H93" s="4"/>
      <c r="I93" s="102" t="str">
        <f>IF($B93="",CHAR(111),IF(AND(Eingabe!$L$108="Ausgabe vg Lüftung",Eingabe!L78=""),CHAR(254),CHAR(111)))</f>
        <v>o</v>
      </c>
      <c r="J93" s="4"/>
      <c r="K93" s="102" t="str">
        <f>IF(ISTEXT(Eingabe!L78),CHAR(111),IF($B93="",CHAR(111),IF(OR(Eingabe!$AA$65="Abluftsystem",Eingabe!$AA$65="Zuluftsystem",Eingabe!$AA$65="Zu-/Abluft-System"),CHAR(254),CHAR(111))))</f>
        <v>o</v>
      </c>
      <c r="L93" s="495" t="str">
        <f>CHAR(111)</f>
        <v>o</v>
      </c>
      <c r="M93" s="496"/>
      <c r="N93" s="102" t="str">
        <f>IF($B93="",CHAR(111),IF(OR(Eingabe!$AA$65="Abluftsystem",Eingabe!$AA$65="Zu-/Abluft-System"),CHAR(254),CHAR(111)))</f>
        <v>o</v>
      </c>
      <c r="O93" s="102" t="str">
        <f>IF($B93="",CHAR(111),IF(AND(Eingabe!$AA$65="Zuluftsystem",$Z$16="ja"),CHAR(254),CHAR(111)))</f>
        <v>o</v>
      </c>
      <c r="P93" s="4"/>
      <c r="Q93" s="326" t="str">
        <f>IF(AND(ISTEXT(B93),ISTEXT(Eingabe!L79)),CHAR(254),CHAR(111))</f>
        <v>o</v>
      </c>
      <c r="R93" s="503"/>
      <c r="S93" s="504"/>
    </row>
    <row r="94" spans="1:19" ht="15" customHeight="1" x14ac:dyDescent="0.2">
      <c r="A94" s="98" t="s">
        <v>386</v>
      </c>
      <c r="B94" s="28" t="str">
        <f>IF(Eingabe!$L$108="Ausgabe vg Lüftung",IF(ISBLANK(Eingabe!$N78),"",Eingabe!$Q78),"")</f>
        <v/>
      </c>
      <c r="C94" s="28" t="s">
        <v>25</v>
      </c>
      <c r="D94" s="100" t="s">
        <v>345</v>
      </c>
      <c r="E94" s="101" t="s">
        <v>389</v>
      </c>
      <c r="F94" s="92"/>
      <c r="G94" s="93" t="str">
        <f>IF(G93="o","-",Eingabe!$Z73/Eingabe!$Z$84*$N$26)</f>
        <v>-</v>
      </c>
      <c r="H94" s="92"/>
      <c r="I94" s="93" t="str">
        <f>IF(I93="o","-",Eingabe!$Z73/Eingabe!$Z$84*$N$28)</f>
        <v>-</v>
      </c>
      <c r="J94" s="73"/>
      <c r="K94" s="93" t="str">
        <f>IF(K93="o","-",Eingabe!$Z73/Eingabe!$Z$84*$N$32)</f>
        <v>-</v>
      </c>
      <c r="L94" s="499" t="s">
        <v>37</v>
      </c>
      <c r="M94" s="500"/>
      <c r="N94" s="93" t="str">
        <f>IF(N93="o","-",Eingabe!$Z73/Eingabe!$Z$84*$N$32)</f>
        <v>-</v>
      </c>
      <c r="O94" s="93" t="str">
        <f>IF(O93="o","-",Eingabe!$Z73/Eingabe!$Z$84*$N$30)</f>
        <v>-</v>
      </c>
      <c r="P94" s="73"/>
      <c r="Q94" s="93" t="str">
        <f>IF(Q93="o","-",Eingabe!$Z73/Eingabe!$Z$84*$N$32)</f>
        <v>-</v>
      </c>
      <c r="R94" s="530"/>
      <c r="S94" s="531"/>
    </row>
    <row r="95" spans="1:19" ht="15" customHeight="1" x14ac:dyDescent="0.2">
      <c r="A95" s="97" t="s">
        <v>387</v>
      </c>
      <c r="B95" s="492" t="str">
        <f>IF(Eingabe!$L$108="Ausgabe vg Lüftung",IF(ISBLANK(Eingabe!$N79),"",Eingabe!$I79),"")</f>
        <v/>
      </c>
      <c r="C95" s="493"/>
      <c r="D95" s="493"/>
      <c r="E95" s="494"/>
      <c r="F95" s="99"/>
      <c r="G95" s="102" t="str">
        <f>IF($B95="",CHAR(111),IF(OR(Eingabe!$AA$65="Abluftsystem",Eingabe!$AA$65="Zuluftsystem"),CHAR(254),CHAR(111)))</f>
        <v>o</v>
      </c>
      <c r="H95" s="4"/>
      <c r="I95" s="102" t="str">
        <f>IF($B95="",CHAR(111),IF(AND(Eingabe!$L$108="Ausgabe vg Lüftung",Eingabe!L79=""),CHAR(254),CHAR(111)))</f>
        <v>o</v>
      </c>
      <c r="J95" s="4"/>
      <c r="K95" s="102" t="str">
        <f>IF(ISTEXT(Eingabe!L79),CHAR(111),IF($B95="",CHAR(111),IF(OR(Eingabe!$AA$65="Abluftsystem",Eingabe!$AA$65="Zuluftsystem",Eingabe!$AA$65="Zu-/Abluft-System"),CHAR(254),CHAR(111))))</f>
        <v>o</v>
      </c>
      <c r="L95" s="495" t="str">
        <f>CHAR(111)</f>
        <v>o</v>
      </c>
      <c r="M95" s="496"/>
      <c r="N95" s="102" t="str">
        <f>IF($B95="",CHAR(111),IF(OR(Eingabe!$AA$65="Abluftsystem",Eingabe!$AA$65="Zu-/Abluft-System"),CHAR(254),CHAR(111)))</f>
        <v>o</v>
      </c>
      <c r="O95" s="102" t="str">
        <f>IF($B95="",CHAR(111),IF(AND(Eingabe!$AA$65="Zuluftsystem",$Z$16="ja"),CHAR(254),CHAR(111)))</f>
        <v>o</v>
      </c>
      <c r="P95" s="4"/>
      <c r="Q95" s="326" t="str">
        <f>IF(AND(ISTEXT(B95),ISTEXT(Eingabe!L79)),CHAR(254),CHAR(111))</f>
        <v>o</v>
      </c>
      <c r="R95" s="503"/>
      <c r="S95" s="504"/>
    </row>
    <row r="96" spans="1:19" ht="15" customHeight="1" x14ac:dyDescent="0.2">
      <c r="A96" s="98" t="s">
        <v>386</v>
      </c>
      <c r="B96" s="28" t="str">
        <f>IF(Eingabe!$L$108="Ausgabe vg Lüftung",IF(ISBLANK(Eingabe!$N79),"",Eingabe!$Q79),"")</f>
        <v/>
      </c>
      <c r="C96" s="28" t="s">
        <v>25</v>
      </c>
      <c r="D96" s="100" t="s">
        <v>345</v>
      </c>
      <c r="E96" s="101" t="s">
        <v>389</v>
      </c>
      <c r="F96" s="92"/>
      <c r="G96" s="93" t="str">
        <f>IF(G95="o","-",Eingabe!$Z74/Eingabe!$Z$84*$N$26)</f>
        <v>-</v>
      </c>
      <c r="H96" s="92"/>
      <c r="I96" s="93" t="str">
        <f>IF(I95="o","-",Eingabe!$Z74/Eingabe!$Z$84*$N$28)</f>
        <v>-</v>
      </c>
      <c r="J96" s="73"/>
      <c r="K96" s="93" t="str">
        <f>IF(K95="o","-",Eingabe!$Z74/Eingabe!$Z$84*$N$32)</f>
        <v>-</v>
      </c>
      <c r="L96" s="499" t="s">
        <v>37</v>
      </c>
      <c r="M96" s="500"/>
      <c r="N96" s="93" t="str">
        <f>IF(N95="o","-",Eingabe!$Z74/Eingabe!$Z$84*$N$32)</f>
        <v>-</v>
      </c>
      <c r="O96" s="93" t="str">
        <f>IF(O95="o","-",Eingabe!$Z74/Eingabe!$Z$84*$N$30)</f>
        <v>-</v>
      </c>
      <c r="P96" s="73"/>
      <c r="Q96" s="93" t="str">
        <f>IF(Q95="o","-",Eingabe!$Z74/Eingabe!$Z$84*$N$32)</f>
        <v>-</v>
      </c>
      <c r="R96" s="530"/>
      <c r="S96" s="531"/>
    </row>
    <row r="97" spans="1:19" ht="15" customHeight="1" x14ac:dyDescent="0.2">
      <c r="A97" s="97" t="s">
        <v>387</v>
      </c>
      <c r="B97" s="492" t="str">
        <f>IF(Eingabe!$L$108="Ausgabe vg Lüftung",IF(ISBLANK(Eingabe!$N80),"",Eingabe!$I80),"")</f>
        <v/>
      </c>
      <c r="C97" s="493"/>
      <c r="D97" s="493"/>
      <c r="E97" s="494"/>
      <c r="F97" s="99"/>
      <c r="G97" s="102" t="str">
        <f>IF($B97="",CHAR(111),IF(OR(Eingabe!$AA$65="Abluftsystem",Eingabe!$AA$65="Zuluftsystem"),CHAR(254),CHAR(111)))</f>
        <v>o</v>
      </c>
      <c r="H97" s="4"/>
      <c r="I97" s="102" t="str">
        <f>IF($B97="",CHAR(111),IF(AND(Eingabe!$L$108="Ausgabe vg Lüftung",Eingabe!L80=""),CHAR(254),CHAR(111)))</f>
        <v>o</v>
      </c>
      <c r="J97" s="4"/>
      <c r="K97" s="102" t="str">
        <f>IF(ISTEXT(Eingabe!L80),CHAR(111),IF($B97="",CHAR(111),IF(OR(Eingabe!$AA$65="Abluftsystem",Eingabe!$AA$65="Zuluftsystem",Eingabe!$AA$65="Zu-/Abluft-System"),CHAR(254),CHAR(111))))</f>
        <v>o</v>
      </c>
      <c r="L97" s="495" t="str">
        <f>CHAR(111)</f>
        <v>o</v>
      </c>
      <c r="M97" s="496"/>
      <c r="N97" s="102" t="str">
        <f>IF($B97="",CHAR(111),IF(OR(Eingabe!$AA$65="Abluftsystem",Eingabe!$AA$65="Zu-/Abluft-System"),CHAR(254),CHAR(111)))</f>
        <v>o</v>
      </c>
      <c r="O97" s="102" t="str">
        <f>IF($B97="",CHAR(111),IF(AND(Eingabe!$AA$65="Zuluftsystem",$Z$16="ja"),CHAR(254),CHAR(111)))</f>
        <v>o</v>
      </c>
      <c r="P97" s="4"/>
      <c r="Q97" s="326" t="str">
        <f>IF(AND(ISTEXT(B97),ISTEXT(Eingabe!L80)),CHAR(254),CHAR(111))</f>
        <v>o</v>
      </c>
      <c r="R97" s="503"/>
      <c r="S97" s="504"/>
    </row>
    <row r="98" spans="1:19" ht="15" customHeight="1" x14ac:dyDescent="0.2">
      <c r="A98" s="98" t="s">
        <v>386</v>
      </c>
      <c r="B98" s="28" t="str">
        <f>IF(Eingabe!$L$108="Ausgabe vg Lüftung",IF(ISBLANK(Eingabe!$N80),"",Eingabe!$Q80),"")</f>
        <v/>
      </c>
      <c r="C98" s="28" t="s">
        <v>25</v>
      </c>
      <c r="D98" s="100" t="s">
        <v>345</v>
      </c>
      <c r="E98" s="101" t="s">
        <v>389</v>
      </c>
      <c r="F98" s="92"/>
      <c r="G98" s="93" t="str">
        <f>IF(G97="o","-",Eingabe!$Z75/Eingabe!$Z$84*$N$26)</f>
        <v>-</v>
      </c>
      <c r="H98" s="92"/>
      <c r="I98" s="93" t="str">
        <f>IF(I97="o","-",Eingabe!$Z75/Eingabe!$Z$84*$N$28)</f>
        <v>-</v>
      </c>
      <c r="J98" s="73"/>
      <c r="K98" s="93" t="str">
        <f>IF(K97="o","-",Eingabe!$Z75/Eingabe!$Z$84*$N$32)</f>
        <v>-</v>
      </c>
      <c r="L98" s="499" t="s">
        <v>37</v>
      </c>
      <c r="M98" s="500"/>
      <c r="N98" s="93" t="str">
        <f>IF(N97="o","-",Eingabe!$Z75/Eingabe!$Z$84*$N$32)</f>
        <v>-</v>
      </c>
      <c r="O98" s="93" t="str">
        <f>IF(O97="o","-",Eingabe!$Z75/Eingabe!$Z$84*$N$30)</f>
        <v>-</v>
      </c>
      <c r="P98" s="73"/>
      <c r="Q98" s="93" t="str">
        <f>IF(Q97="o","-",Eingabe!$Z75/Eingabe!$Z$84*$N$32)</f>
        <v>-</v>
      </c>
      <c r="R98" s="530"/>
      <c r="S98" s="531"/>
    </row>
    <row r="99" spans="1:19" ht="15" customHeight="1" x14ac:dyDescent="0.2">
      <c r="A99" s="97" t="s">
        <v>387</v>
      </c>
      <c r="B99" s="492" t="str">
        <f>IF(Eingabe!$L$108="Ausgabe vg Lüftung",IF(ISBLANK(Eingabe!$N81),"",Eingabe!$I81),"")</f>
        <v/>
      </c>
      <c r="C99" s="493"/>
      <c r="D99" s="493"/>
      <c r="E99" s="494"/>
      <c r="F99" s="99"/>
      <c r="G99" s="102" t="str">
        <f>IF($B99="",CHAR(111),IF(OR(Eingabe!$AA$65="Abluftsystem",Eingabe!$AA$65="Zuluftsystem"),CHAR(254),CHAR(111)))</f>
        <v>o</v>
      </c>
      <c r="H99" s="4"/>
      <c r="I99" s="102" t="str">
        <f>IF($B99="",CHAR(111),IF(AND(Eingabe!$L$108="Ausgabe vg Lüftung",Eingabe!L81=""),CHAR(254),CHAR(111)))</f>
        <v>o</v>
      </c>
      <c r="J99" s="4"/>
      <c r="K99" s="102" t="str">
        <f>IF(ISTEXT(Eingabe!L81),CHAR(111),IF($B99="",CHAR(111),IF(OR(Eingabe!$AA$65="Abluftsystem",Eingabe!$AA$65="Zuluftsystem",Eingabe!$AA$65="Zu-/Abluft-System"),CHAR(254),CHAR(111))))</f>
        <v>o</v>
      </c>
      <c r="L99" s="495" t="str">
        <f>CHAR(111)</f>
        <v>o</v>
      </c>
      <c r="M99" s="496"/>
      <c r="N99" s="102" t="str">
        <f>IF($B99="",CHAR(111),IF(OR(Eingabe!$AA$65="Abluftsystem",Eingabe!$AA$65="Zu-/Abluft-System"),CHAR(254),CHAR(111)))</f>
        <v>o</v>
      </c>
      <c r="O99" s="102" t="str">
        <f>IF($B99="",CHAR(111),IF(AND(Eingabe!$AA$65="Zuluftsystem",$Z$16="ja"),CHAR(254),CHAR(111)))</f>
        <v>o</v>
      </c>
      <c r="P99" s="4"/>
      <c r="Q99" s="326" t="str">
        <f>IF(AND(ISTEXT(B99),ISTEXT(Eingabe!L81)),CHAR(254),CHAR(111))</f>
        <v>o</v>
      </c>
      <c r="R99" s="503"/>
      <c r="S99" s="504"/>
    </row>
    <row r="100" spans="1:19" ht="15" customHeight="1" x14ac:dyDescent="0.2">
      <c r="A100" s="98" t="s">
        <v>386</v>
      </c>
      <c r="B100" s="28" t="str">
        <f>IF(Eingabe!$L$108="Ausgabe vg Lüftung",IF(ISBLANK(Eingabe!$N81),"",Eingabe!$Q81),"")</f>
        <v/>
      </c>
      <c r="C100" s="28" t="s">
        <v>25</v>
      </c>
      <c r="D100" s="100" t="s">
        <v>345</v>
      </c>
      <c r="E100" s="101" t="s">
        <v>389</v>
      </c>
      <c r="F100" s="92"/>
      <c r="G100" s="93" t="str">
        <f>IF(G99="o","-",Eingabe!$Z76/Eingabe!$Z$84*$N$26)</f>
        <v>-</v>
      </c>
      <c r="H100" s="92"/>
      <c r="I100" s="93" t="str">
        <f>IF(I99="o","-",Eingabe!$Z76/Eingabe!$Z$84*$N$28)</f>
        <v>-</v>
      </c>
      <c r="J100" s="73"/>
      <c r="K100" s="93" t="str">
        <f>IF(K99="o","-",Eingabe!$Z76/Eingabe!$Z$84*$N$32)</f>
        <v>-</v>
      </c>
      <c r="L100" s="499" t="s">
        <v>37</v>
      </c>
      <c r="M100" s="500"/>
      <c r="N100" s="93" t="str">
        <f>IF(N99="o","-",Eingabe!$Z76/Eingabe!$Z$84*$N$32)</f>
        <v>-</v>
      </c>
      <c r="O100" s="93" t="str">
        <f>IF(O99="o","-",Eingabe!$Z76/Eingabe!$Z$84*$N$30)</f>
        <v>-</v>
      </c>
      <c r="P100" s="73"/>
      <c r="Q100" s="93" t="str">
        <f>IF(Q99="o","-",Eingabe!$Z76/Eingabe!$Z$84*$N$32)</f>
        <v>-</v>
      </c>
      <c r="R100" s="530"/>
      <c r="S100" s="531"/>
    </row>
    <row r="101" spans="1:19" ht="15" customHeight="1" x14ac:dyDescent="0.2">
      <c r="A101" s="97" t="s">
        <v>387</v>
      </c>
      <c r="B101" s="492" t="str">
        <f>IF(Eingabe!$L$108="Ausgabe vg Lüftung",IF(ISBLANK(Eingabe!$N82),"",Eingabe!$I82),"")</f>
        <v/>
      </c>
      <c r="C101" s="493"/>
      <c r="D101" s="493"/>
      <c r="E101" s="494"/>
      <c r="F101" s="99"/>
      <c r="G101" s="102" t="str">
        <f>IF($B101="",CHAR(111),IF(OR(Eingabe!$AA$65="Abluftsystem",Eingabe!$AA$65="Zuluftsystem"),CHAR(254),CHAR(111)))</f>
        <v>o</v>
      </c>
      <c r="H101" s="4"/>
      <c r="I101" s="102" t="str">
        <f>IF($B101="",CHAR(111),IF(AND(Eingabe!$L$108="Ausgabe vg Lüftung",Eingabe!L82=""),CHAR(254),CHAR(111)))</f>
        <v>o</v>
      </c>
      <c r="J101" s="4"/>
      <c r="K101" s="102" t="str">
        <f>IF(ISTEXT(Eingabe!L82),CHAR(111),IF($B101="",CHAR(111),IF(OR(Eingabe!$AA$65="Abluftsystem",Eingabe!$AA$65="Zuluftsystem",Eingabe!$AA$65="Zu-/Abluft-System"),CHAR(254),CHAR(111))))</f>
        <v>o</v>
      </c>
      <c r="L101" s="495" t="str">
        <f>CHAR(111)</f>
        <v>o</v>
      </c>
      <c r="M101" s="496"/>
      <c r="N101" s="102" t="str">
        <f>IF($B101="",CHAR(111),IF(OR(Eingabe!$AA$65="Abluftsystem",Eingabe!$AA$65="Zu-/Abluft-System"),CHAR(254),CHAR(111)))</f>
        <v>o</v>
      </c>
      <c r="O101" s="102" t="str">
        <f>IF($B101="",CHAR(111),IF(AND(Eingabe!$AA$65="Zuluftsystem",$Z$16="ja"),CHAR(254),CHAR(111)))</f>
        <v>o</v>
      </c>
      <c r="P101" s="4"/>
      <c r="Q101" s="326" t="str">
        <f>IF(AND(ISTEXT(B101),ISTEXT(Eingabe!L82)),CHAR(254),CHAR(111))</f>
        <v>o</v>
      </c>
      <c r="R101" s="503"/>
      <c r="S101" s="504"/>
    </row>
    <row r="102" spans="1:19" ht="15" customHeight="1" x14ac:dyDescent="0.2">
      <c r="A102" s="98" t="s">
        <v>386</v>
      </c>
      <c r="B102" s="28" t="str">
        <f>IF(Eingabe!$L$108="Ausgabe vg Lüftung",IF(ISBLANK(Eingabe!$N82),"",Eingabe!$Q82),"")</f>
        <v/>
      </c>
      <c r="C102" s="28" t="s">
        <v>25</v>
      </c>
      <c r="D102" s="100" t="s">
        <v>345</v>
      </c>
      <c r="E102" s="101" t="s">
        <v>389</v>
      </c>
      <c r="F102" s="92"/>
      <c r="G102" s="93" t="str">
        <f>IF(G101="o","-",Eingabe!$Z77/Eingabe!$Z$84*$N$26)</f>
        <v>-</v>
      </c>
      <c r="H102" s="92"/>
      <c r="I102" s="93" t="str">
        <f>IF(I101="o","-",Eingabe!$Z77/Eingabe!$Z$84*$N$28)</f>
        <v>-</v>
      </c>
      <c r="J102" s="73"/>
      <c r="K102" s="93" t="str">
        <f>IF(K101="o","-",Eingabe!$Z77/Eingabe!$Z$84*$N$32)</f>
        <v>-</v>
      </c>
      <c r="L102" s="499" t="s">
        <v>37</v>
      </c>
      <c r="M102" s="500"/>
      <c r="N102" s="93" t="str">
        <f>IF(N101="o","-",Eingabe!$Z77/Eingabe!$Z$84*$N$32)</f>
        <v>-</v>
      </c>
      <c r="O102" s="93" t="str">
        <f>IF(O101="o","-",Eingabe!$Z77/Eingabe!$Z$84*$N$30)</f>
        <v>-</v>
      </c>
      <c r="P102" s="73"/>
      <c r="Q102" s="93" t="str">
        <f>IF(Q101="o","-",Eingabe!$Z77/Eingabe!$Z$84*$N$32)</f>
        <v>-</v>
      </c>
      <c r="R102" s="530"/>
      <c r="S102" s="531"/>
    </row>
    <row r="103" spans="1:19" ht="15" customHeight="1" x14ac:dyDescent="0.2">
      <c r="A103" s="97" t="s">
        <v>387</v>
      </c>
      <c r="B103" s="492" t="str">
        <f>IF(Eingabe!$L$108="Ausgabe vg Lüftung",IF(ISBLANK(Eingabe!$N83),"",Eingabe!$I83),"")</f>
        <v/>
      </c>
      <c r="C103" s="493"/>
      <c r="D103" s="493"/>
      <c r="E103" s="494"/>
      <c r="F103" s="99"/>
      <c r="G103" s="102" t="str">
        <f>IF($B103="",CHAR(111),IF(OR(Eingabe!$AA$65="Abluftsystem",Eingabe!$AA$65="Zuluftsystem"),CHAR(254),CHAR(111)))</f>
        <v>o</v>
      </c>
      <c r="H103" s="4"/>
      <c r="I103" s="102" t="str">
        <f>IF($B103="",CHAR(111),IF(AND(Eingabe!$L$108="Ausgabe vg Lüftung",Eingabe!L83=""),CHAR(254),CHAR(111)))</f>
        <v>o</v>
      </c>
      <c r="J103" s="4"/>
      <c r="K103" s="102" t="str">
        <f>IF(ISTEXT(Eingabe!L83),CHAR(111),IF($B103="",CHAR(111),IF(OR(Eingabe!$AA$65="Abluftsystem",Eingabe!$AA$65="Zuluftsystem",Eingabe!$AA$65="Zu-/Abluft-System"),CHAR(254),CHAR(111))))</f>
        <v>o</v>
      </c>
      <c r="L103" s="495" t="str">
        <f>CHAR(111)</f>
        <v>o</v>
      </c>
      <c r="M103" s="496"/>
      <c r="N103" s="102" t="str">
        <f>IF($B103="",CHAR(111),IF(OR(Eingabe!$AA$65="Abluftsystem",Eingabe!$AA$65="Zu-/Abluft-System"),CHAR(254),CHAR(111)))</f>
        <v>o</v>
      </c>
      <c r="O103" s="102" t="str">
        <f>IF($B103="",CHAR(111),IF(AND(Eingabe!$AA$65="Zuluftsystem",$Z$16="ja"),CHAR(254),CHAR(111)))</f>
        <v>o</v>
      </c>
      <c r="P103" s="4"/>
      <c r="Q103" s="326" t="str">
        <f>IF(AND(ISTEXT(B103),ISTEXT(Eingabe!L83)),CHAR(254),CHAR(111))</f>
        <v>o</v>
      </c>
      <c r="R103" s="503"/>
      <c r="S103" s="504"/>
    </row>
    <row r="104" spans="1:19" ht="15" customHeight="1" x14ac:dyDescent="0.2">
      <c r="A104" s="98" t="s">
        <v>386</v>
      </c>
      <c r="B104" s="28" t="str">
        <f>IF(Eingabe!$L$108="Ausgabe vg Lüftung",IF(ISBLANK(Eingabe!$N83),"",Eingabe!$Q83),"")</f>
        <v/>
      </c>
      <c r="C104" s="28" t="s">
        <v>25</v>
      </c>
      <c r="D104" s="100" t="s">
        <v>345</v>
      </c>
      <c r="E104" s="101" t="s">
        <v>389</v>
      </c>
      <c r="F104" s="92"/>
      <c r="G104" s="93" t="str">
        <f>IF(G103="o","-",Eingabe!$Z78/Eingabe!$Z$84*$N$26)</f>
        <v>-</v>
      </c>
      <c r="H104" s="92"/>
      <c r="I104" s="93" t="str">
        <f>IF(I103="o","-",Eingabe!$Z78/Eingabe!$Z$84*$N$28)</f>
        <v>-</v>
      </c>
      <c r="J104" s="73"/>
      <c r="K104" s="93" t="str">
        <f>IF(K103="o","-",Eingabe!$Z78/Eingabe!$Z$84*$N$32)</f>
        <v>-</v>
      </c>
      <c r="L104" s="499" t="s">
        <v>37</v>
      </c>
      <c r="M104" s="500"/>
      <c r="N104" s="93" t="str">
        <f>IF(N103="o","-",Eingabe!$Z78/Eingabe!$Z$84*$N$32)</f>
        <v>-</v>
      </c>
      <c r="O104" s="93" t="str">
        <f>IF(O103="o","-",Eingabe!$Z78/Eingabe!$Z$84*$N$30)</f>
        <v>-</v>
      </c>
      <c r="P104" s="73"/>
      <c r="Q104" s="93" t="str">
        <f>IF(Q103="o","-",Eingabe!$Z78/Eingabe!$Z$84*$N$32)</f>
        <v>-</v>
      </c>
      <c r="R104" s="530"/>
      <c r="S104" s="531"/>
    </row>
    <row r="105" spans="1:19" ht="15" customHeight="1" x14ac:dyDescent="0.2">
      <c r="A105" s="97" t="s">
        <v>387</v>
      </c>
      <c r="B105" s="492" t="str">
        <f>IF(Eingabe!$L$108="Ausgabe vg Lüftung",IF(ISBLANK(Eingabe!$N84),"",Eingabe!$I84),"")</f>
        <v/>
      </c>
      <c r="C105" s="493"/>
      <c r="D105" s="493"/>
      <c r="E105" s="494"/>
      <c r="F105" s="99"/>
      <c r="G105" s="102" t="str">
        <f>IF($B105="",CHAR(111),IF(OR(Eingabe!$AA$65="Abluftsystem",Eingabe!$AA$65="Zuluftsystem"),CHAR(254),CHAR(111)))</f>
        <v>o</v>
      </c>
      <c r="H105" s="4"/>
      <c r="I105" s="102" t="str">
        <f>IF($B105="",CHAR(111),IF(AND(Eingabe!$L$108="Ausgabe vg Lüftung",Eingabe!L84=""),CHAR(254),CHAR(111)))</f>
        <v>o</v>
      </c>
      <c r="J105" s="4"/>
      <c r="K105" s="102" t="str">
        <f>IF(ISTEXT(Eingabe!L84),CHAR(111),IF($B105="",CHAR(111),IF(OR(Eingabe!$AA$65="Abluftsystem",Eingabe!$AA$65="Zuluftsystem",Eingabe!$AA$65="Zu-/Abluft-System"),CHAR(254),CHAR(111))))</f>
        <v>o</v>
      </c>
      <c r="L105" s="495" t="str">
        <f>CHAR(111)</f>
        <v>o</v>
      </c>
      <c r="M105" s="496"/>
      <c r="N105" s="102" t="str">
        <f>IF($B105="",CHAR(111),IF(OR(Eingabe!$AA$65="Abluftsystem",Eingabe!$AA$65="Zu-/Abluft-System"),CHAR(254),CHAR(111)))</f>
        <v>o</v>
      </c>
      <c r="O105" s="102" t="str">
        <f>IF($B105="",CHAR(111),IF(AND(Eingabe!$AA$65="Zuluftsystem",$Z$16="ja"),CHAR(254),CHAR(111)))</f>
        <v>o</v>
      </c>
      <c r="P105" s="4"/>
      <c r="Q105" s="326" t="str">
        <f>IF(AND(ISTEXT(B105),ISTEXT(Eingabe!L84)),CHAR(254),CHAR(111))</f>
        <v>o</v>
      </c>
      <c r="R105" s="503"/>
      <c r="S105" s="504"/>
    </row>
    <row r="106" spans="1:19" ht="15" customHeight="1" x14ac:dyDescent="0.2">
      <c r="A106" s="98" t="s">
        <v>386</v>
      </c>
      <c r="B106" s="28" t="str">
        <f>IF(Eingabe!$L$108="Ausgabe vg Lüftung",IF(ISBLANK(Eingabe!$N84),"",Eingabe!$Q84),"")</f>
        <v/>
      </c>
      <c r="C106" s="28" t="s">
        <v>25</v>
      </c>
      <c r="D106" s="100" t="s">
        <v>345</v>
      </c>
      <c r="E106" s="101" t="s">
        <v>389</v>
      </c>
      <c r="F106" s="92"/>
      <c r="G106" s="93" t="str">
        <f>IF(G105="o","-",Eingabe!$Z79/Eingabe!$Z$84*$N$26)</f>
        <v>-</v>
      </c>
      <c r="H106" s="92"/>
      <c r="I106" s="93" t="str">
        <f>IF(I105="o","-",Eingabe!$Z79/Eingabe!$Z$84*$N$28)</f>
        <v>-</v>
      </c>
      <c r="J106" s="73"/>
      <c r="K106" s="93" t="str">
        <f>IF(K105="o","-",Eingabe!$Z79/Eingabe!$Z$84*$N$32)</f>
        <v>-</v>
      </c>
      <c r="L106" s="499" t="s">
        <v>37</v>
      </c>
      <c r="M106" s="500"/>
      <c r="N106" s="93" t="str">
        <f>IF(N105="o","-",Eingabe!$Z79/Eingabe!$Z$84*$N$32)</f>
        <v>-</v>
      </c>
      <c r="O106" s="93" t="str">
        <f>IF(O105="o","-",Eingabe!$Z79/Eingabe!$Z$84*$N$30)</f>
        <v>-</v>
      </c>
      <c r="P106" s="73"/>
      <c r="Q106" s="93" t="str">
        <f>IF(Q105="o","-",Eingabe!$Z79/Eingabe!$Z$84*$N$32)</f>
        <v>-</v>
      </c>
      <c r="R106" s="530"/>
      <c r="S106" s="531"/>
    </row>
    <row r="107" spans="1:19" ht="15" customHeight="1" x14ac:dyDescent="0.2">
      <c r="A107" s="97" t="s">
        <v>387</v>
      </c>
      <c r="B107" s="492" t="str">
        <f>IF(Eingabe!$L$108="Ausgabe vg Lüftung",IF(ISBLANK(Eingabe!$N85),"",Eingabe!$I85),"")</f>
        <v/>
      </c>
      <c r="C107" s="493"/>
      <c r="D107" s="493"/>
      <c r="E107" s="494"/>
      <c r="F107" s="99"/>
      <c r="G107" s="102" t="str">
        <f>IF($B107="",CHAR(111),IF(OR(Eingabe!$AA$65="Abluftsystem",Eingabe!$AA$65="Zuluftsystem"),CHAR(254),CHAR(111)))</f>
        <v>o</v>
      </c>
      <c r="H107" s="4"/>
      <c r="I107" s="102" t="str">
        <f>IF($B107="",CHAR(111),IF(AND(Eingabe!$L$108="Ausgabe vg Lüftung",Eingabe!L85=""),CHAR(254),CHAR(111)))</f>
        <v>o</v>
      </c>
      <c r="J107" s="4"/>
      <c r="K107" s="102" t="str">
        <f>IF(ISTEXT(Eingabe!L85),CHAR(111),IF($B107="",CHAR(111),IF(OR(Eingabe!$AA$65="Abluftsystem",Eingabe!$AA$65="Zuluftsystem",Eingabe!$AA$65="Zu-/Abluft-System"),CHAR(254),CHAR(111))))</f>
        <v>o</v>
      </c>
      <c r="L107" s="495" t="str">
        <f>CHAR(111)</f>
        <v>o</v>
      </c>
      <c r="M107" s="496"/>
      <c r="N107" s="102" t="str">
        <f>IF($B107="",CHAR(111),IF(OR(Eingabe!$AA$65="Abluftsystem",Eingabe!$AA$65="Zu-/Abluft-System"),CHAR(254),CHAR(111)))</f>
        <v>o</v>
      </c>
      <c r="O107" s="102" t="str">
        <f>IF($B107="",CHAR(111),IF(AND(Eingabe!$AA$65="Zuluftsystem",$Z$16="ja"),CHAR(254),CHAR(111)))</f>
        <v>o</v>
      </c>
      <c r="P107" s="4"/>
      <c r="Q107" s="326" t="str">
        <f>IF(AND(ISTEXT(B107),ISTEXT(Eingabe!L85)),CHAR(254),CHAR(111))</f>
        <v>o</v>
      </c>
      <c r="R107" s="503"/>
      <c r="S107" s="504"/>
    </row>
    <row r="108" spans="1:19" ht="15" customHeight="1" x14ac:dyDescent="0.2">
      <c r="A108" s="98" t="s">
        <v>386</v>
      </c>
      <c r="B108" s="28" t="str">
        <f>IF(Eingabe!$L$108="Ausgabe vg Lüftung",IF(ISBLANK(Eingabe!$N85),"",Eingabe!$Q85),"")</f>
        <v/>
      </c>
      <c r="C108" s="28" t="s">
        <v>25</v>
      </c>
      <c r="D108" s="100" t="s">
        <v>345</v>
      </c>
      <c r="E108" s="101" t="s">
        <v>389</v>
      </c>
      <c r="F108" s="92"/>
      <c r="G108" s="93" t="str">
        <f>IF(G107="o","-",Eingabe!$Z80/Eingabe!$Z$84*$N$26)</f>
        <v>-</v>
      </c>
      <c r="H108" s="92"/>
      <c r="I108" s="93" t="str">
        <f>IF(I107="o","-",Eingabe!$Z80/Eingabe!$Z$84*$N$28)</f>
        <v>-</v>
      </c>
      <c r="J108" s="73"/>
      <c r="K108" s="93" t="str">
        <f>IF(K107="o","-",Eingabe!$Z80/Eingabe!$Z$84*$N$32)</f>
        <v>-</v>
      </c>
      <c r="L108" s="499" t="s">
        <v>37</v>
      </c>
      <c r="M108" s="500"/>
      <c r="N108" s="93" t="str">
        <f>IF(N107="o","-",Eingabe!$Z80/Eingabe!$Z$84*$N$32)</f>
        <v>-</v>
      </c>
      <c r="O108" s="93" t="str">
        <f>IF(O107="o","-",Eingabe!$Z80/Eingabe!$Z$84*$N$30)</f>
        <v>-</v>
      </c>
      <c r="P108" s="73"/>
      <c r="Q108" s="93" t="str">
        <f>IF(Q107="o","-",Eingabe!$Z80/Eingabe!$Z$84*$N$32)</f>
        <v>-</v>
      </c>
      <c r="R108" s="530"/>
      <c r="S108" s="531"/>
    </row>
    <row r="109" spans="1:19" ht="15" customHeight="1" x14ac:dyDescent="0.2">
      <c r="A109" s="97" t="s">
        <v>387</v>
      </c>
      <c r="B109" s="492" t="str">
        <f>IF(Eingabe!$L$108="Ausgabe vg Lüftung",IF(ISBLANK(Eingabe!$N86),"",Eingabe!$I86),"")</f>
        <v/>
      </c>
      <c r="C109" s="493"/>
      <c r="D109" s="493"/>
      <c r="E109" s="494"/>
      <c r="F109" s="99"/>
      <c r="G109" s="102" t="str">
        <f>IF($B109="",CHAR(111),IF(OR(Eingabe!$AA$65="Abluftsystem",Eingabe!$AA$65="Zuluftsystem"),CHAR(254),CHAR(111)))</f>
        <v>o</v>
      </c>
      <c r="H109" s="4"/>
      <c r="I109" s="102" t="str">
        <f>IF($B109="",CHAR(111),IF(AND(Eingabe!$L$108="Ausgabe vg Lüftung",Eingabe!L86=""),CHAR(254),CHAR(111)))</f>
        <v>o</v>
      </c>
      <c r="J109" s="4"/>
      <c r="K109" s="102" t="str">
        <f>IF(ISTEXT(Eingabe!L86),CHAR(111),IF($B109="",CHAR(111),IF(OR(Eingabe!$AA$65="Abluftsystem",Eingabe!$AA$65="Zuluftsystem",Eingabe!$AA$65="Zu-/Abluft-System"),CHAR(254),CHAR(111))))</f>
        <v>o</v>
      </c>
      <c r="L109" s="495" t="str">
        <f>CHAR(111)</f>
        <v>o</v>
      </c>
      <c r="M109" s="496"/>
      <c r="N109" s="102" t="str">
        <f>IF($B109="",CHAR(111),IF(OR(Eingabe!$AA$65="Abluftsystem",Eingabe!$AA$65="Zu-/Abluft-System"),CHAR(254),CHAR(111)))</f>
        <v>o</v>
      </c>
      <c r="O109" s="102" t="str">
        <f>IF($B109="",CHAR(111),IF(AND(Eingabe!$AA$65="Zuluftsystem",$Z$16="ja"),CHAR(254),CHAR(111)))</f>
        <v>o</v>
      </c>
      <c r="P109" s="4"/>
      <c r="Q109" s="326" t="str">
        <f>IF(AND(ISTEXT(B109),ISTEXT(Eingabe!L86)),CHAR(254),CHAR(111))</f>
        <v>o</v>
      </c>
      <c r="R109" s="503"/>
      <c r="S109" s="504"/>
    </row>
    <row r="110" spans="1:19" ht="15" customHeight="1" x14ac:dyDescent="0.2">
      <c r="A110" s="98" t="s">
        <v>386</v>
      </c>
      <c r="B110" s="28" t="str">
        <f>IF(Eingabe!$L$108="Ausgabe vg Lüftung",IF(ISBLANK(Eingabe!$N86),"",Eingabe!$Q86),"")</f>
        <v/>
      </c>
      <c r="C110" s="28" t="s">
        <v>25</v>
      </c>
      <c r="D110" s="100" t="s">
        <v>345</v>
      </c>
      <c r="E110" s="101" t="s">
        <v>389</v>
      </c>
      <c r="F110" s="92"/>
      <c r="G110" s="93" t="str">
        <f>IF(G109="o","-",Eingabe!$Z81/Eingabe!$Z$84*$N$26)</f>
        <v>-</v>
      </c>
      <c r="H110" s="92"/>
      <c r="I110" s="93" t="str">
        <f>IF(I109="o","-",Eingabe!$Z81/Eingabe!$Z$84*$N$28)</f>
        <v>-</v>
      </c>
      <c r="J110" s="73"/>
      <c r="K110" s="93" t="str">
        <f>IF(K109="o","-",Eingabe!$Z81/Eingabe!$Z$84*$N$32)</f>
        <v>-</v>
      </c>
      <c r="L110" s="499" t="s">
        <v>37</v>
      </c>
      <c r="M110" s="500"/>
      <c r="N110" s="93" t="str">
        <f>IF(N109="o","-",Eingabe!$Z81/Eingabe!$Z$84*$N$32)</f>
        <v>-</v>
      </c>
      <c r="O110" s="93" t="str">
        <f>IF(O109="o","-",Eingabe!$Z81/Eingabe!$Z$84*$N$30)</f>
        <v>-</v>
      </c>
      <c r="P110" s="73"/>
      <c r="Q110" s="93" t="str">
        <f>IF(Q109="o","-",Eingabe!$Z81/Eingabe!$Z$84*$N$32)</f>
        <v>-</v>
      </c>
      <c r="R110" s="530"/>
      <c r="S110" s="531"/>
    </row>
    <row r="111" spans="1:19" ht="15" customHeight="1" x14ac:dyDescent="0.2">
      <c r="A111" s="97" t="s">
        <v>387</v>
      </c>
      <c r="B111" s="492" t="str">
        <f>IF(Eingabe!$L$108="Ausgabe vg Lüftung",IF(ISBLANK(Eingabe!$N87),"",Eingabe!$I87),"")</f>
        <v/>
      </c>
      <c r="C111" s="493"/>
      <c r="D111" s="493"/>
      <c r="E111" s="494"/>
      <c r="F111" s="99"/>
      <c r="G111" s="102" t="str">
        <f>IF($B111="",CHAR(111),IF(OR(Eingabe!$AA$65="Abluftsystem",Eingabe!$AA$65="Zuluftsystem"),CHAR(254),CHAR(111)))</f>
        <v>o</v>
      </c>
      <c r="H111" s="4"/>
      <c r="I111" s="102" t="str">
        <f>IF($B111="",CHAR(111),IF(AND(Eingabe!$L$108="Ausgabe vg Lüftung",Eingabe!L87=""),CHAR(254),CHAR(111)))</f>
        <v>o</v>
      </c>
      <c r="J111" s="4"/>
      <c r="K111" s="102" t="str">
        <f>IF(ISTEXT(Eingabe!L87),CHAR(111),IF($B111="",CHAR(111),IF(OR(Eingabe!$AA$65="Abluftsystem",Eingabe!$AA$65="Zuluftsystem",Eingabe!$AA$65="Zu-/Abluft-System"),CHAR(254),CHAR(111))))</f>
        <v>o</v>
      </c>
      <c r="L111" s="495" t="str">
        <f>CHAR(111)</f>
        <v>o</v>
      </c>
      <c r="M111" s="496"/>
      <c r="N111" s="102" t="str">
        <f>IF($B111="",CHAR(111),IF(OR(Eingabe!$AA$65="Abluftsystem",Eingabe!$AA$65="Zu-/Abluft-System"),CHAR(254),CHAR(111)))</f>
        <v>o</v>
      </c>
      <c r="O111" s="102" t="str">
        <f>IF($B111="",CHAR(111),IF(AND(Eingabe!$AA$65="Zuluftsystem",$Z$16="ja"),CHAR(254),CHAR(111)))</f>
        <v>o</v>
      </c>
      <c r="P111" s="4"/>
      <c r="Q111" s="326" t="str">
        <f>IF(AND(ISTEXT(B111),ISTEXT(Eingabe!L87)),CHAR(254),CHAR(111))</f>
        <v>o</v>
      </c>
      <c r="R111" s="503"/>
      <c r="S111" s="504"/>
    </row>
    <row r="112" spans="1:19" ht="15" customHeight="1" x14ac:dyDescent="0.2">
      <c r="A112" s="98" t="s">
        <v>386</v>
      </c>
      <c r="B112" s="28" t="str">
        <f>IF(Eingabe!$L$108="Ausgabe vg Lüftung",IF(ISBLANK(Eingabe!$N87),"",Eingabe!$Q87),"")</f>
        <v/>
      </c>
      <c r="C112" s="28" t="s">
        <v>25</v>
      </c>
      <c r="D112" s="100" t="s">
        <v>345</v>
      </c>
      <c r="E112" s="101" t="s">
        <v>389</v>
      </c>
      <c r="F112" s="92"/>
      <c r="G112" s="93" t="str">
        <f>IF(G111="o","-",Eingabe!$Z82/Eingabe!$Z$84*$N$26)</f>
        <v>-</v>
      </c>
      <c r="H112" s="92"/>
      <c r="I112" s="93" t="str">
        <f>IF(I111="o","-",Eingabe!$Z82/Eingabe!$Z$84*$N$28)</f>
        <v>-</v>
      </c>
      <c r="J112" s="73"/>
      <c r="K112" s="93" t="str">
        <f>IF(K111="o","-",Eingabe!$Z82/Eingabe!$Z$84*$N$32)</f>
        <v>-</v>
      </c>
      <c r="L112" s="499" t="s">
        <v>37</v>
      </c>
      <c r="M112" s="500"/>
      <c r="N112" s="93" t="str">
        <f>IF(N111="o","-",Eingabe!$Z82/Eingabe!$Z$84*$N$32)</f>
        <v>-</v>
      </c>
      <c r="O112" s="93" t="str">
        <f>IF(O111="o","-",Eingabe!$Z82/Eingabe!$Z$84*$N$30)</f>
        <v>-</v>
      </c>
      <c r="P112" s="73"/>
      <c r="Q112" s="93" t="str">
        <f>IF(Q111="o","-",Eingabe!$Z82/Eingabe!$Z$84*$N$32)</f>
        <v>-</v>
      </c>
      <c r="R112" s="530"/>
      <c r="S112" s="531"/>
    </row>
    <row r="113" spans="1:19" ht="15" customHeight="1" x14ac:dyDescent="0.2">
      <c r="A113" s="97" t="s">
        <v>387</v>
      </c>
      <c r="B113" s="492" t="str">
        <f>IF(Eingabe!$L$108="Ausgabe vg Lüftung",IF(ISBLANK(Eingabe!$N88),"",Eingabe!$I88),"")</f>
        <v/>
      </c>
      <c r="C113" s="493"/>
      <c r="D113" s="493"/>
      <c r="E113" s="494"/>
      <c r="F113" s="99"/>
      <c r="G113" s="102" t="str">
        <f>IF($B113="",CHAR(111),IF(OR(Eingabe!$AA$65="Abluftsystem",Eingabe!$AA$65="Zuluftsystem"),CHAR(254),CHAR(111)))</f>
        <v>o</v>
      </c>
      <c r="H113" s="4"/>
      <c r="I113" s="102" t="str">
        <f>IF($B113="",CHAR(111),IF(AND(Eingabe!$L$108="Ausgabe vg Lüftung",Eingabe!L89=""),CHAR(254),CHAR(111)))</f>
        <v>o</v>
      </c>
      <c r="J113" s="4"/>
      <c r="K113" s="102" t="str">
        <f>IF(ISTEXT(Eingabe!L89),CHAR(111),IF($B113="",CHAR(111),IF(OR(Eingabe!$AA$65="Abluftsystem",Eingabe!$AA$65="Zuluftsystem",Eingabe!$AA$65="Zu-/Abluft-System"),CHAR(254),CHAR(111))))</f>
        <v>o</v>
      </c>
      <c r="L113" s="495" t="str">
        <f>CHAR(111)</f>
        <v>o</v>
      </c>
      <c r="M113" s="496"/>
      <c r="N113" s="102" t="str">
        <f>IF($B113="",CHAR(111),IF(OR(Eingabe!$AA$65="Abluftsystem",Eingabe!$AA$65="Zu-/Abluft-System"),CHAR(254),CHAR(111)))</f>
        <v>o</v>
      </c>
      <c r="O113" s="102" t="str">
        <f>IF($B113="",CHAR(111),IF(AND(Eingabe!$AA$65="Zuluftsystem",$Z$16="ja"),CHAR(254),CHAR(111)))</f>
        <v>o</v>
      </c>
      <c r="P113" s="4"/>
      <c r="Q113" s="326" t="str">
        <f>IF(AND(ISTEXT(B113),ISTEXT(Eingabe!L88)),CHAR(254),CHAR(111))</f>
        <v>o</v>
      </c>
      <c r="R113" s="503"/>
      <c r="S113" s="504"/>
    </row>
    <row r="114" spans="1:19" ht="15" customHeight="1" x14ac:dyDescent="0.2">
      <c r="A114" s="108" t="s">
        <v>386</v>
      </c>
      <c r="B114" s="109" t="str">
        <f>IF(Eingabe!$L$108="Ausgabe vg Lüftung",IF(ISBLANK(Eingabe!$N88),"",Eingabe!$Q88),"")</f>
        <v/>
      </c>
      <c r="C114" s="109" t="s">
        <v>25</v>
      </c>
      <c r="D114" s="91" t="s">
        <v>345</v>
      </c>
      <c r="E114" s="110" t="s">
        <v>389</v>
      </c>
      <c r="F114" s="111"/>
      <c r="G114" s="112" t="str">
        <f>IF(G113="o","-",Eingabe!$Z83/Eingabe!$Z$84*$N$26)</f>
        <v>-</v>
      </c>
      <c r="H114" s="111"/>
      <c r="I114" s="112" t="str">
        <f>IF(I113="o","-",Eingabe!$Z83/Eingabe!$Z$84*$N$28)</f>
        <v>-</v>
      </c>
      <c r="J114" s="113"/>
      <c r="K114" s="112" t="str">
        <f>IF(K113="o","-",Eingabe!$Z83/Eingabe!$Z$84*$N$32)</f>
        <v>-</v>
      </c>
      <c r="L114" s="514" t="s">
        <v>37</v>
      </c>
      <c r="M114" s="515"/>
      <c r="N114" s="112" t="str">
        <f>IF(N113="o","-",Eingabe!$Z83/Eingabe!$Z$84*$N$32)</f>
        <v>-</v>
      </c>
      <c r="O114" s="112" t="str">
        <f>IF(O113="o","-",Eingabe!$Z83/Eingabe!$Z$84*$N$30)</f>
        <v>-</v>
      </c>
      <c r="P114" s="113"/>
      <c r="Q114" s="112" t="str">
        <f>IF(Q113="o","-",Eingabe!$Z83/Eingabe!$Z$84*$N$32)</f>
        <v>-</v>
      </c>
      <c r="R114" s="534"/>
      <c r="S114" s="535"/>
    </row>
    <row r="115" spans="1:19" ht="18" customHeight="1" x14ac:dyDescent="0.2">
      <c r="A115" s="116"/>
      <c r="B115" s="17"/>
      <c r="C115" s="90" t="s">
        <v>393</v>
      </c>
      <c r="D115" s="255" t="s">
        <v>391</v>
      </c>
      <c r="E115" s="256" t="s">
        <v>389</v>
      </c>
      <c r="F115" s="17"/>
      <c r="G115" s="257" t="str">
        <f>IF($B85="","-",IF(G85="o","-",IF(G85="þ",SUM(G85:G114),0)))</f>
        <v>-</v>
      </c>
      <c r="H115" s="17"/>
      <c r="I115" s="257" t="str">
        <f>IF($B85="","-",IF(I85="o","-",IF(I85="þ",SUM(I85:I114),0)))</f>
        <v>-</v>
      </c>
      <c r="J115" s="17"/>
      <c r="K115" s="257" t="str">
        <f>IF($B85="","-",IF(K85="o","-",IF(K85="þ",SUM(K85:K114),0)))</f>
        <v>-</v>
      </c>
      <c r="L115" s="536" t="str">
        <f>IF($B85="","-",IF(L85="o","-",IF(L85="þ",SUM(L85:L114),0)))</f>
        <v>-</v>
      </c>
      <c r="M115" s="537"/>
      <c r="N115" s="257" t="str">
        <f>IF($B85="","-",IF(N85="o","-",IF(N85="þ",SUM(N85:N114),0)))</f>
        <v>-</v>
      </c>
      <c r="O115" s="257" t="str">
        <f>IF($B85="","-",IF(O85="o","-",IF(O85="þ",SUM(O85:O114),0)))</f>
        <v>-</v>
      </c>
      <c r="P115" s="17"/>
      <c r="Q115" s="257" t="str">
        <f>IF($B85="","-",IF(Q85="o","-",IF(Q85="þ",SUM(Q85:Q114),0)))</f>
        <v>-</v>
      </c>
      <c r="R115" s="538"/>
      <c r="S115" s="539"/>
    </row>
  </sheetData>
  <sheetProtection password="EFEE" sheet="1" objects="1" scenarios="1"/>
  <mergeCells count="197">
    <mergeCell ref="L114:M114"/>
    <mergeCell ref="R114:S114"/>
    <mergeCell ref="L115:M115"/>
    <mergeCell ref="R115:S115"/>
    <mergeCell ref="B111:E111"/>
    <mergeCell ref="L111:M111"/>
    <mergeCell ref="R111:S111"/>
    <mergeCell ref="L112:M112"/>
    <mergeCell ref="R112:S112"/>
    <mergeCell ref="B113:E113"/>
    <mergeCell ref="L113:M113"/>
    <mergeCell ref="R113:S113"/>
    <mergeCell ref="L108:M108"/>
    <mergeCell ref="R108:S108"/>
    <mergeCell ref="B109:E109"/>
    <mergeCell ref="L109:M109"/>
    <mergeCell ref="R109:S109"/>
    <mergeCell ref="L110:M110"/>
    <mergeCell ref="R110:S110"/>
    <mergeCell ref="B105:E105"/>
    <mergeCell ref="L105:M105"/>
    <mergeCell ref="R105:S105"/>
    <mergeCell ref="L106:M106"/>
    <mergeCell ref="R106:S106"/>
    <mergeCell ref="B107:E107"/>
    <mergeCell ref="L107:M107"/>
    <mergeCell ref="R107:S107"/>
    <mergeCell ref="L102:M102"/>
    <mergeCell ref="R102:S102"/>
    <mergeCell ref="B103:E103"/>
    <mergeCell ref="L103:M103"/>
    <mergeCell ref="R103:S103"/>
    <mergeCell ref="L104:M104"/>
    <mergeCell ref="R104:S104"/>
    <mergeCell ref="B99:E99"/>
    <mergeCell ref="L99:M99"/>
    <mergeCell ref="R99:S99"/>
    <mergeCell ref="L100:M100"/>
    <mergeCell ref="R100:S100"/>
    <mergeCell ref="B101:E101"/>
    <mergeCell ref="L101:M101"/>
    <mergeCell ref="R101:S101"/>
    <mergeCell ref="L96:M96"/>
    <mergeCell ref="R96:S96"/>
    <mergeCell ref="B97:E97"/>
    <mergeCell ref="L97:M97"/>
    <mergeCell ref="R97:S97"/>
    <mergeCell ref="L98:M98"/>
    <mergeCell ref="R98:S98"/>
    <mergeCell ref="B93:E93"/>
    <mergeCell ref="L93:M93"/>
    <mergeCell ref="R93:S93"/>
    <mergeCell ref="L94:M94"/>
    <mergeCell ref="R94:S94"/>
    <mergeCell ref="B95:E95"/>
    <mergeCell ref="L95:M95"/>
    <mergeCell ref="R95:S95"/>
    <mergeCell ref="L90:M90"/>
    <mergeCell ref="R90:S90"/>
    <mergeCell ref="B91:E91"/>
    <mergeCell ref="L91:M91"/>
    <mergeCell ref="R91:S91"/>
    <mergeCell ref="L92:M92"/>
    <mergeCell ref="R92:S92"/>
    <mergeCell ref="B87:E87"/>
    <mergeCell ref="L87:M87"/>
    <mergeCell ref="R87:S87"/>
    <mergeCell ref="L88:M88"/>
    <mergeCell ref="R88:S88"/>
    <mergeCell ref="B89:E89"/>
    <mergeCell ref="L89:M89"/>
    <mergeCell ref="R89:S89"/>
    <mergeCell ref="L84:M84"/>
    <mergeCell ref="R84:S84"/>
    <mergeCell ref="B85:E85"/>
    <mergeCell ref="L85:M85"/>
    <mergeCell ref="R85:S85"/>
    <mergeCell ref="L86:M86"/>
    <mergeCell ref="R86:S86"/>
    <mergeCell ref="L77:M77"/>
    <mergeCell ref="R77:S77"/>
    <mergeCell ref="L78:M78"/>
    <mergeCell ref="R78:S78"/>
    <mergeCell ref="D82:L82"/>
    <mergeCell ref="N82:S82"/>
    <mergeCell ref="B74:E74"/>
    <mergeCell ref="L74:M74"/>
    <mergeCell ref="R74:S74"/>
    <mergeCell ref="L75:M75"/>
    <mergeCell ref="R75:S75"/>
    <mergeCell ref="B76:E76"/>
    <mergeCell ref="L76:M76"/>
    <mergeCell ref="R76:S76"/>
    <mergeCell ref="L71:M71"/>
    <mergeCell ref="R71:S71"/>
    <mergeCell ref="B72:E72"/>
    <mergeCell ref="L72:M72"/>
    <mergeCell ref="R72:S72"/>
    <mergeCell ref="L73:M73"/>
    <mergeCell ref="R73:S73"/>
    <mergeCell ref="B68:E68"/>
    <mergeCell ref="L68:M68"/>
    <mergeCell ref="R68:S68"/>
    <mergeCell ref="L69:M69"/>
    <mergeCell ref="R69:S69"/>
    <mergeCell ref="B70:E70"/>
    <mergeCell ref="L70:M70"/>
    <mergeCell ref="R70:S70"/>
    <mergeCell ref="L65:M65"/>
    <mergeCell ref="R65:S65"/>
    <mergeCell ref="B66:E66"/>
    <mergeCell ref="L66:M66"/>
    <mergeCell ref="R66:S66"/>
    <mergeCell ref="L67:M67"/>
    <mergeCell ref="R67:S67"/>
    <mergeCell ref="B62:E62"/>
    <mergeCell ref="L62:M62"/>
    <mergeCell ref="R62:S62"/>
    <mergeCell ref="L63:M63"/>
    <mergeCell ref="R63:S63"/>
    <mergeCell ref="B64:E64"/>
    <mergeCell ref="L64:M64"/>
    <mergeCell ref="R64:S64"/>
    <mergeCell ref="L59:M59"/>
    <mergeCell ref="R59:S59"/>
    <mergeCell ref="B60:E60"/>
    <mergeCell ref="L60:M60"/>
    <mergeCell ref="R60:S60"/>
    <mergeCell ref="L61:M61"/>
    <mergeCell ref="R61:S61"/>
    <mergeCell ref="B56:E56"/>
    <mergeCell ref="L56:M56"/>
    <mergeCell ref="R56:S56"/>
    <mergeCell ref="L57:M57"/>
    <mergeCell ref="R57:S57"/>
    <mergeCell ref="B58:E58"/>
    <mergeCell ref="L58:M58"/>
    <mergeCell ref="R58:S58"/>
    <mergeCell ref="L53:M53"/>
    <mergeCell ref="R53:S53"/>
    <mergeCell ref="B54:E54"/>
    <mergeCell ref="L54:M54"/>
    <mergeCell ref="R54:S54"/>
    <mergeCell ref="L55:M55"/>
    <mergeCell ref="R55:S55"/>
    <mergeCell ref="B50:E50"/>
    <mergeCell ref="L50:M50"/>
    <mergeCell ref="R50:S50"/>
    <mergeCell ref="L51:M51"/>
    <mergeCell ref="R51:S51"/>
    <mergeCell ref="B52:E52"/>
    <mergeCell ref="L52:M52"/>
    <mergeCell ref="R52:S52"/>
    <mergeCell ref="L47:M47"/>
    <mergeCell ref="R47:S47"/>
    <mergeCell ref="B48:E48"/>
    <mergeCell ref="L48:M48"/>
    <mergeCell ref="R48:S48"/>
    <mergeCell ref="L49:M49"/>
    <mergeCell ref="R49:S49"/>
    <mergeCell ref="N28:O28"/>
    <mergeCell ref="N30:O30"/>
    <mergeCell ref="N34:O34"/>
    <mergeCell ref="N36:O36"/>
    <mergeCell ref="N38:O38"/>
    <mergeCell ref="D45:L45"/>
    <mergeCell ref="N45:S45"/>
    <mergeCell ref="N32:O32"/>
    <mergeCell ref="N40:O40"/>
    <mergeCell ref="N22:O22"/>
    <mergeCell ref="AE23:AF23"/>
    <mergeCell ref="AH23:AJ23"/>
    <mergeCell ref="N26:O26"/>
    <mergeCell ref="AH24:AJ24"/>
    <mergeCell ref="AI25:AJ25"/>
    <mergeCell ref="N24:O24"/>
    <mergeCell ref="AE17:AF17"/>
    <mergeCell ref="AG17:AJ17"/>
    <mergeCell ref="N18:O18"/>
    <mergeCell ref="AH18:AJ18"/>
    <mergeCell ref="AD19:AD21"/>
    <mergeCell ref="AE19:AG21"/>
    <mergeCell ref="AH19:AI19"/>
    <mergeCell ref="AJ19:AJ21"/>
    <mergeCell ref="N20:O20"/>
    <mergeCell ref="AH21:AI21"/>
    <mergeCell ref="Z22:AA22"/>
    <mergeCell ref="D9:I9"/>
    <mergeCell ref="N9:O9"/>
    <mergeCell ref="D11:I11"/>
    <mergeCell ref="N11:O11"/>
    <mergeCell ref="D16:L16"/>
    <mergeCell ref="N16:S16"/>
    <mergeCell ref="D7:I7"/>
    <mergeCell ref="N7:O7"/>
    <mergeCell ref="D5:L5"/>
    <mergeCell ref="N5:S5"/>
  </mergeCells>
  <conditionalFormatting sqref="B49 B86 B88 B90 B92 B94 B96 B98 B100 B102 B104 B106 B108 B110 B112 B114 B51 B53 B55 B57 B59 B61 B63 B65 B67 B69 B71 B73 B75 B77">
    <cfRule type="expression" dxfId="23" priority="47" stopIfTrue="1">
      <formula>B49=""</formula>
    </cfRule>
    <cfRule type="expression" dxfId="22" priority="48" stopIfTrue="1">
      <formula>ISTEXT(B48)</formula>
    </cfRule>
  </conditionalFormatting>
  <conditionalFormatting sqref="C114 C86 C88 C90 C92 C94 C96 C98 C100 C102 C104 C106 C108 C110 C112">
    <cfRule type="expression" dxfId="21" priority="45" stopIfTrue="1">
      <formula>B85=""</formula>
    </cfRule>
    <cfRule type="expression" dxfId="20" priority="46" stopIfTrue="1">
      <formula>ISTEXT(B85)</formula>
    </cfRule>
  </conditionalFormatting>
  <conditionalFormatting sqref="Q9 K9:L9">
    <cfRule type="expression" dxfId="19" priority="27" stopIfTrue="1">
      <formula>#REF!="Querlüftung (FS)"</formula>
    </cfRule>
    <cfRule type="expression" dxfId="18" priority="28" stopIfTrue="1">
      <formula>OR(#REF!="Querlüftung",#REF!="Schachtlüftung",#REF!="Zuluftsystem",#REF!="Abluftsystem",#REF!="Zu-/Abluft-System")</formula>
    </cfRule>
  </conditionalFormatting>
  <conditionalFormatting sqref="K11">
    <cfRule type="expression" dxfId="17" priority="25" stopIfTrue="1">
      <formula>#REF!="Querlüftung (FS)"</formula>
    </cfRule>
    <cfRule type="expression" dxfId="16" priority="26" stopIfTrue="1">
      <formula>OR(#REF!="Querlüftung",#REF!="Schachtlüftung",#REF!="Zuluftsystem",#REF!="Abluftsystem",#REF!="Zu-/Abluft-System")</formula>
    </cfRule>
  </conditionalFormatting>
  <conditionalFormatting sqref="L11">
    <cfRule type="expression" dxfId="15" priority="23" stopIfTrue="1">
      <formula>#REF!="Querlüftung (FS)"</formula>
    </cfRule>
    <cfRule type="expression" dxfId="14" priority="24" stopIfTrue="1">
      <formula>OR(#REF!="Querlüftung",#REF!="Schachtlüftung",#REF!="Zuluftsystem",#REF!="Abluftsystem",#REF!="Zu-/Abluft-System")</formula>
    </cfRule>
  </conditionalFormatting>
  <conditionalFormatting sqref="Q11">
    <cfRule type="expression" dxfId="13" priority="21" stopIfTrue="1">
      <formula>#REF!="Querlüftung (FS)"</formula>
    </cfRule>
    <cfRule type="expression" dxfId="12" priority="22" stopIfTrue="1">
      <formula>OR(#REF!="Querlüftung",#REF!="Schachtlüftung",#REF!="Zuluftsystem",#REF!="Abluftsystem",#REF!="Zu-/Abluft-System")</formula>
    </cfRule>
  </conditionalFormatting>
  <conditionalFormatting sqref="Q11 K11:L11">
    <cfRule type="expression" dxfId="11" priority="1" stopIfTrue="1">
      <formula>#REF!="Querlüftung (FS)"</formula>
    </cfRule>
    <cfRule type="expression" dxfId="10" priority="2" stopIfTrue="1">
      <formula>OR(#REF!="Querlüftung",#REF!="Schachtlüftung",#REF!="Zuluftsystem",#REF!="Abluftsystem",#REF!="Zu-/Abluft-System")</formula>
    </cfRule>
  </conditionalFormatting>
  <pageMargins left="0.70866141732283472" right="0.70866141732283472" top="0.74803149606299213" bottom="0.74803149606299213" header="0.31496062992125984" footer="0.31496062992125984"/>
  <pageSetup paperSize="9" scale="75" fitToHeight="3" orientation="portrait" horizontalDpi="300" verticalDpi="300" r:id="rId1"/>
  <headerFooter alignWithMargins="0">
    <oddFooter>&amp;L&amp;F - &amp;A&amp;R&amp;P</oddFooter>
  </headerFooter>
  <rowBreaks count="2" manualBreakCount="2">
    <brk id="42" max="18" man="1"/>
    <brk id="79"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0"/>
  <sheetViews>
    <sheetView showGridLines="0" zoomScale="145" zoomScaleNormal="145" zoomScaleSheetLayoutView="100" workbookViewId="0">
      <selection activeCell="A2" sqref="A2"/>
    </sheetView>
  </sheetViews>
  <sheetFormatPr baseColWidth="10" defaultRowHeight="12.75" x14ac:dyDescent="0.2"/>
  <cols>
    <col min="1" max="1" width="8.7109375" customWidth="1"/>
    <col min="2" max="2" width="7.7109375" customWidth="1"/>
    <col min="3" max="4" width="4.7109375" customWidth="1"/>
    <col min="5" max="5" width="5.7109375" customWidth="1"/>
    <col min="6" max="6" width="1.7109375" customWidth="1"/>
    <col min="7" max="7" width="9.7109375" customWidth="1"/>
    <col min="8" max="8" width="1.7109375" customWidth="1"/>
    <col min="9" max="9" width="8.7109375" customWidth="1"/>
    <col min="10" max="10" width="1.7109375" customWidth="1"/>
    <col min="11" max="11" width="7.7109375" customWidth="1"/>
    <col min="12" max="12" width="6.7109375" customWidth="1"/>
    <col min="13" max="13" width="1.7109375" customWidth="1"/>
    <col min="14" max="15" width="9.7109375" customWidth="1"/>
    <col min="16" max="16" width="1.7109375" customWidth="1"/>
    <col min="17" max="17" width="14.7109375" customWidth="1"/>
    <col min="18" max="18" width="1.7109375" customWidth="1"/>
    <col min="19" max="19" width="6.7109375" customWidth="1"/>
    <col min="21" max="21" width="11.42578125" hidden="1" customWidth="1"/>
    <col min="22" max="22" width="15.28515625" hidden="1" customWidth="1"/>
    <col min="23" max="23" width="17.140625" hidden="1" customWidth="1"/>
    <col min="24" max="24" width="16.42578125" hidden="1" customWidth="1"/>
    <col min="25" max="25" width="16.85546875" hidden="1" customWidth="1"/>
    <col min="26" max="26" width="12.28515625" hidden="1" customWidth="1"/>
    <col min="27" max="27" width="19.85546875" hidden="1" customWidth="1"/>
    <col min="28" max="29" width="11.42578125" hidden="1" customWidth="1"/>
    <col min="30" max="30" width="15" hidden="1" customWidth="1"/>
    <col min="31" max="31" width="13.7109375" hidden="1" customWidth="1"/>
    <col min="32" max="32" width="14.85546875" hidden="1" customWidth="1"/>
    <col min="33" max="33" width="13.42578125" hidden="1" customWidth="1"/>
    <col min="34" max="34" width="15.85546875" hidden="1" customWidth="1"/>
    <col min="35" max="35" width="10.5703125" hidden="1" customWidth="1"/>
    <col min="36" max="36" width="11.42578125" hidden="1" customWidth="1"/>
    <col min="37" max="40" width="0" hidden="1" customWidth="1"/>
  </cols>
  <sheetData>
    <row r="1" spans="1:36" ht="20.25" x14ac:dyDescent="0.3">
      <c r="A1" s="264" t="s">
        <v>488</v>
      </c>
      <c r="B1" s="54"/>
      <c r="C1" s="54"/>
      <c r="D1" s="54"/>
      <c r="E1" s="54"/>
      <c r="F1" s="54"/>
      <c r="G1" s="54"/>
      <c r="H1" s="54"/>
      <c r="I1" s="327"/>
      <c r="J1" s="54"/>
      <c r="K1" s="54"/>
      <c r="L1" s="327"/>
      <c r="M1" s="50"/>
      <c r="N1" s="50"/>
      <c r="O1" s="50"/>
    </row>
    <row r="2" spans="1:36" ht="35.1" customHeight="1" thickBot="1" x14ac:dyDescent="0.25"/>
    <row r="3" spans="1:36" ht="18.75" customHeight="1" x14ac:dyDescent="0.2">
      <c r="A3" s="6" t="s">
        <v>484</v>
      </c>
      <c r="V3" s="120"/>
      <c r="W3" s="134" t="s">
        <v>57</v>
      </c>
      <c r="X3" s="135"/>
      <c r="Y3" s="135"/>
      <c r="Z3" s="136"/>
    </row>
    <row r="4" spans="1:36" ht="9.9499999999999993" customHeight="1" x14ac:dyDescent="0.2">
      <c r="V4" s="131"/>
      <c r="W4" s="149" t="s">
        <v>333</v>
      </c>
      <c r="X4" s="19"/>
      <c r="Y4" s="64" t="s">
        <v>432</v>
      </c>
      <c r="Z4" s="150"/>
    </row>
    <row r="5" spans="1:36" ht="18" customHeight="1" x14ac:dyDescent="0.2">
      <c r="A5" s="36"/>
      <c r="B5" s="11"/>
      <c r="C5" s="11"/>
      <c r="D5" s="490" t="s">
        <v>379</v>
      </c>
      <c r="E5" s="490"/>
      <c r="F5" s="490"/>
      <c r="G5" s="490"/>
      <c r="H5" s="490"/>
      <c r="I5" s="490"/>
      <c r="J5" s="490"/>
      <c r="K5" s="490"/>
      <c r="L5" s="490"/>
      <c r="M5" s="203"/>
      <c r="N5" s="487" t="str">
        <f>IF(Eingabe!$L$108="Ausgabe freie Lüftung und Ausgabe vg R-LG","Zu-/Abluftsystem",IF(Eingabe!$L$108="Ausgabe vg Lüftung","siehe Ausgabe vg Lüftung!","siehe Ausgabe freie Lüftung"))</f>
        <v>siehe Ausgabe freie Lüftung</v>
      </c>
      <c r="O5" s="488"/>
      <c r="P5" s="488"/>
      <c r="Q5" s="488"/>
      <c r="R5" s="488"/>
      <c r="S5" s="489"/>
      <c r="V5" s="131"/>
      <c r="W5" s="44" t="s">
        <v>335</v>
      </c>
      <c r="X5" s="207" t="str">
        <f>Eingabe!X108</f>
        <v>-</v>
      </c>
      <c r="Y5" s="44" t="s">
        <v>341</v>
      </c>
      <c r="Z5" s="295">
        <f>Eingabe!Z108</f>
        <v>55</v>
      </c>
    </row>
    <row r="6" spans="1:36" ht="9.9499999999999993" customHeight="1" x14ac:dyDescent="0.2">
      <c r="A6" s="51"/>
      <c r="B6" s="50"/>
      <c r="C6" s="50"/>
      <c r="D6" s="50"/>
      <c r="E6" s="50"/>
      <c r="F6" s="50"/>
      <c r="G6" s="50"/>
      <c r="H6" s="50"/>
      <c r="I6" s="50"/>
      <c r="J6" s="50"/>
      <c r="K6" s="50"/>
      <c r="L6" s="50"/>
      <c r="M6" s="50"/>
      <c r="N6" s="50"/>
      <c r="O6" s="50"/>
      <c r="P6" s="50"/>
      <c r="Q6" s="50"/>
      <c r="R6" s="50"/>
      <c r="S6" s="52"/>
      <c r="V6" s="131" t="s">
        <v>301</v>
      </c>
      <c r="W6" s="209" t="s">
        <v>337</v>
      </c>
      <c r="X6" s="4">
        <f>Eingabe!X109</f>
        <v>0</v>
      </c>
      <c r="Y6" s="63" t="s">
        <v>430</v>
      </c>
      <c r="Z6" s="138">
        <f>Eingabe!Z109</f>
        <v>0</v>
      </c>
    </row>
    <row r="7" spans="1:36" ht="15" customHeight="1" x14ac:dyDescent="0.2">
      <c r="A7" s="51"/>
      <c r="B7" s="50"/>
      <c r="C7" s="50"/>
      <c r="D7" s="491" t="s">
        <v>331</v>
      </c>
      <c r="E7" s="491"/>
      <c r="F7" s="491"/>
      <c r="G7" s="491"/>
      <c r="H7" s="491"/>
      <c r="I7" s="491"/>
      <c r="J7" s="4"/>
      <c r="K7" s="61" t="s">
        <v>345</v>
      </c>
      <c r="L7" s="94" t="s">
        <v>349</v>
      </c>
      <c r="M7" s="83" t="s">
        <v>346</v>
      </c>
      <c r="N7" s="480" t="str">
        <f>IF(Eingabe!L108="Ausgabe freie Lüftung und Ausgabe vg R-LG",IF(ISNUMBER(Eingabe!AL106),Eingabe!AL106,0),"-")</f>
        <v>-</v>
      </c>
      <c r="O7" s="481"/>
      <c r="P7" s="4"/>
      <c r="Q7" s="84" t="s">
        <v>330</v>
      </c>
      <c r="R7" s="50"/>
      <c r="S7" s="52"/>
      <c r="V7" s="131" t="s">
        <v>303</v>
      </c>
      <c r="W7" s="210" t="s">
        <v>338</v>
      </c>
      <c r="X7" s="4">
        <f>Eingabe!X110</f>
        <v>0</v>
      </c>
      <c r="Y7" s="37" t="s">
        <v>344</v>
      </c>
      <c r="Z7" s="138">
        <f>Eingabe!Z110</f>
        <v>55</v>
      </c>
    </row>
    <row r="8" spans="1:36" ht="9.9499999999999993" customHeight="1" x14ac:dyDescent="0.2">
      <c r="A8" s="51"/>
      <c r="B8" s="50"/>
      <c r="C8" s="50"/>
      <c r="D8" s="4"/>
      <c r="E8" s="4"/>
      <c r="F8" s="4"/>
      <c r="G8" s="4"/>
      <c r="H8" s="4"/>
      <c r="I8" s="4"/>
      <c r="J8" s="4"/>
      <c r="K8" s="4"/>
      <c r="L8" s="89"/>
      <c r="M8" s="4"/>
      <c r="N8" s="4"/>
      <c r="O8" s="4"/>
      <c r="P8" s="4"/>
      <c r="Q8" s="4"/>
      <c r="R8" s="50"/>
      <c r="S8" s="52"/>
      <c r="V8" s="131"/>
      <c r="W8" s="9" t="s">
        <v>339</v>
      </c>
      <c r="X8" s="4">
        <f>Eingabe!X111</f>
        <v>0</v>
      </c>
      <c r="Y8" s="9" t="s">
        <v>335</v>
      </c>
      <c r="Z8" s="138">
        <f>Eingabe!Z111</f>
        <v>0</v>
      </c>
    </row>
    <row r="9" spans="1:36" ht="15" customHeight="1" x14ac:dyDescent="0.2">
      <c r="A9" s="51"/>
      <c r="B9" s="50"/>
      <c r="C9" s="50"/>
      <c r="D9" s="491" t="s">
        <v>332</v>
      </c>
      <c r="E9" s="491"/>
      <c r="F9" s="491"/>
      <c r="G9" s="491"/>
      <c r="H9" s="491"/>
      <c r="I9" s="491"/>
      <c r="J9" s="4"/>
      <c r="K9" s="61" t="s">
        <v>345</v>
      </c>
      <c r="L9" s="94" t="s">
        <v>348</v>
      </c>
      <c r="M9" s="4" t="s">
        <v>346</v>
      </c>
      <c r="N9" s="480" t="str">
        <f>IF(Eingabe!L108="Ausgabe freie Lüftung und Ausgabe vg R-LG",IF(ISNUMBER(Eingabe!AM106),Eingabe!AM106,0),"-")</f>
        <v>-</v>
      </c>
      <c r="O9" s="481"/>
      <c r="P9" s="4"/>
      <c r="Q9" s="84" t="s">
        <v>330</v>
      </c>
      <c r="R9" s="50"/>
      <c r="S9" s="52"/>
      <c r="V9" s="131"/>
      <c r="W9" s="9" t="s">
        <v>340</v>
      </c>
      <c r="X9" s="4">
        <f>Eingabe!X112</f>
        <v>38.5</v>
      </c>
      <c r="Y9" s="9" t="s">
        <v>340</v>
      </c>
      <c r="Z9" s="138">
        <f>Eingabe!Z112</f>
        <v>38.5</v>
      </c>
    </row>
    <row r="10" spans="1:36" ht="9.9499999999999993" customHeight="1" x14ac:dyDescent="0.2">
      <c r="A10" s="51"/>
      <c r="B10" s="50"/>
      <c r="C10" s="50"/>
      <c r="D10" s="4"/>
      <c r="E10" s="4"/>
      <c r="F10" s="4"/>
      <c r="G10" s="4"/>
      <c r="H10" s="4"/>
      <c r="I10" s="4"/>
      <c r="J10" s="4"/>
      <c r="K10" s="4"/>
      <c r="L10" s="89"/>
      <c r="M10" s="4"/>
      <c r="N10" s="4"/>
      <c r="O10" s="4"/>
      <c r="P10" s="4"/>
      <c r="Q10" s="4"/>
      <c r="R10" s="50"/>
      <c r="S10" s="52"/>
      <c r="V10" s="131"/>
      <c r="W10" s="9" t="s">
        <v>341</v>
      </c>
      <c r="X10" s="4">
        <f>Eingabe!X113</f>
        <v>55</v>
      </c>
      <c r="Y10" s="9" t="s">
        <v>342</v>
      </c>
      <c r="Z10" s="138">
        <f>Eingabe!Z113</f>
        <v>71.5</v>
      </c>
    </row>
    <row r="11" spans="1:36" ht="15" customHeight="1" x14ac:dyDescent="0.2">
      <c r="A11" s="51"/>
      <c r="B11" s="50"/>
      <c r="C11" s="50"/>
      <c r="D11" s="491" t="s">
        <v>435</v>
      </c>
      <c r="E11" s="491"/>
      <c r="F11" s="491"/>
      <c r="G11" s="491"/>
      <c r="H11" s="491"/>
      <c r="I11" s="491"/>
      <c r="J11" s="4"/>
      <c r="K11" s="61" t="s">
        <v>345</v>
      </c>
      <c r="L11" s="94" t="s">
        <v>347</v>
      </c>
      <c r="M11" s="4" t="s">
        <v>346</v>
      </c>
      <c r="N11" s="480" t="str">
        <f>IF(Eingabe!L108="Ausgabe freie Lüftung und Ausgabe vg R-LG",IF(ISNUMBER(Eingabe!AN106),Eingabe!AN106,0),"-")</f>
        <v>-</v>
      </c>
      <c r="O11" s="481"/>
      <c r="P11" s="4"/>
      <c r="Q11" s="84" t="s">
        <v>330</v>
      </c>
      <c r="R11" s="50"/>
      <c r="S11" s="52"/>
      <c r="V11" s="131"/>
      <c r="W11" s="9" t="s">
        <v>342</v>
      </c>
      <c r="X11" s="4">
        <f>Eingabe!X114</f>
        <v>71.5</v>
      </c>
      <c r="Y11" s="9" t="s">
        <v>339</v>
      </c>
      <c r="Z11" s="138">
        <f>Eingabe!Z114</f>
        <v>0</v>
      </c>
    </row>
    <row r="12" spans="1:36" ht="9.9499999999999993" customHeight="1" x14ac:dyDescent="0.2">
      <c r="A12" s="53"/>
      <c r="B12" s="54"/>
      <c r="C12" s="54"/>
      <c r="D12" s="303"/>
      <c r="E12" s="303"/>
      <c r="F12" s="303"/>
      <c r="G12" s="303"/>
      <c r="H12" s="303"/>
      <c r="I12" s="303"/>
      <c r="J12" s="17"/>
      <c r="K12" s="17"/>
      <c r="L12" s="254"/>
      <c r="M12" s="17"/>
      <c r="N12" s="17"/>
      <c r="O12" s="17"/>
      <c r="P12" s="17"/>
      <c r="Q12" s="17"/>
      <c r="R12" s="54"/>
      <c r="S12" s="60"/>
      <c r="V12" s="131"/>
      <c r="W12" s="9" t="s">
        <v>343</v>
      </c>
      <c r="X12" s="4" t="e">
        <f>Eingabe!X115</f>
        <v>#VALUE!</v>
      </c>
      <c r="Y12" s="9" t="s">
        <v>343</v>
      </c>
      <c r="Z12" s="138">
        <f>Eingabe!Z115</f>
        <v>38.5</v>
      </c>
    </row>
    <row r="13" spans="1:36" ht="18" customHeight="1" thickBot="1" x14ac:dyDescent="0.25">
      <c r="V13" s="133"/>
      <c r="W13" s="278" t="s">
        <v>344</v>
      </c>
      <c r="X13" s="142" t="e">
        <f>Eingabe!X116</f>
        <v>#VALUE!</v>
      </c>
      <c r="Y13" s="278" t="s">
        <v>431</v>
      </c>
      <c r="Z13" s="143">
        <f>Eingabe!Z116</f>
        <v>71.5</v>
      </c>
    </row>
    <row r="14" spans="1:36" ht="18" customHeight="1" x14ac:dyDescent="0.2">
      <c r="W14" s="4"/>
    </row>
    <row r="15" spans="1:36" ht="18.75" customHeight="1" thickBot="1" x14ac:dyDescent="0.25">
      <c r="A15" s="6" t="s">
        <v>351</v>
      </c>
      <c r="W15" s="188"/>
    </row>
    <row r="16" spans="1:36" ht="9.9499999999999993" customHeight="1" thickBot="1" x14ac:dyDescent="0.25">
      <c r="V16" s="284" t="s">
        <v>352</v>
      </c>
      <c r="W16" s="285"/>
      <c r="X16" s="286"/>
      <c r="Y16" s="50"/>
      <c r="Z16" s="50"/>
      <c r="AA16" s="50"/>
      <c r="AB16" s="50"/>
      <c r="AD16" s="134" t="s">
        <v>34</v>
      </c>
      <c r="AE16" s="135" t="s">
        <v>370</v>
      </c>
      <c r="AF16" s="135"/>
      <c r="AG16" s="135"/>
      <c r="AH16" s="155"/>
      <c r="AI16" s="154"/>
      <c r="AJ16" s="121"/>
    </row>
    <row r="17" spans="1:36" ht="18" customHeight="1" x14ac:dyDescent="0.2">
      <c r="A17" s="36"/>
      <c r="B17" s="11"/>
      <c r="C17" s="11"/>
      <c r="D17" s="484" t="s">
        <v>379</v>
      </c>
      <c r="E17" s="485"/>
      <c r="F17" s="485"/>
      <c r="G17" s="485"/>
      <c r="H17" s="485"/>
      <c r="I17" s="485"/>
      <c r="J17" s="485"/>
      <c r="K17" s="485"/>
      <c r="L17" s="486"/>
      <c r="M17" s="11"/>
      <c r="N17" s="487" t="str">
        <f>IF(Eingabe!$L$108="Ausgabe freie Lüftung und Ausgabe vg R-LG","Zu-/Abluftsystem",IF(Eingabe!$L$108="Ausgabe vg Lüftung","siehe Ausgabe vg Lüftung!","siehe Ausgabe freie Lüftung"))</f>
        <v>siehe Ausgabe freie Lüftung</v>
      </c>
      <c r="O17" s="488"/>
      <c r="P17" s="488"/>
      <c r="Q17" s="488"/>
      <c r="R17" s="488"/>
      <c r="S17" s="489"/>
      <c r="V17" s="131" t="s">
        <v>62</v>
      </c>
      <c r="W17" s="80" t="b">
        <f>Eingabe!W120</f>
        <v>0</v>
      </c>
      <c r="X17" s="126"/>
      <c r="Y17" s="50"/>
      <c r="Z17" s="50"/>
      <c r="AA17" s="50"/>
      <c r="AB17" s="50"/>
      <c r="AD17" s="139" t="s">
        <v>354</v>
      </c>
      <c r="AE17" s="4"/>
      <c r="AF17" s="4"/>
      <c r="AG17" s="4"/>
      <c r="AH17" s="15"/>
      <c r="AI17" s="50"/>
      <c r="AJ17" s="126"/>
    </row>
    <row r="18" spans="1:36" ht="9.9499999999999993" customHeight="1" x14ac:dyDescent="0.2">
      <c r="A18" s="51"/>
      <c r="B18" s="50"/>
      <c r="C18" s="50"/>
      <c r="D18" s="50"/>
      <c r="E18" s="50"/>
      <c r="F18" s="50"/>
      <c r="G18" s="50"/>
      <c r="H18" s="50"/>
      <c r="I18" s="50"/>
      <c r="J18" s="50"/>
      <c r="K18" s="50"/>
      <c r="L18" s="50"/>
      <c r="M18" s="50"/>
      <c r="N18" s="50"/>
      <c r="O18" s="50"/>
      <c r="P18" s="50"/>
      <c r="Q18" s="50"/>
      <c r="R18" s="50"/>
      <c r="S18" s="52"/>
      <c r="V18" s="131" t="s">
        <v>61</v>
      </c>
      <c r="W18" s="81">
        <f>Eingabe!W121</f>
        <v>0</v>
      </c>
      <c r="X18" s="126"/>
      <c r="Y18" s="50"/>
      <c r="Z18" s="50"/>
      <c r="AA18" s="50"/>
      <c r="AB18" s="50"/>
      <c r="AD18" s="139"/>
      <c r="AE18" s="4"/>
      <c r="AF18" s="4"/>
      <c r="AG18" s="4"/>
      <c r="AH18" s="15"/>
      <c r="AI18" s="50"/>
      <c r="AJ18" s="126"/>
    </row>
    <row r="19" spans="1:36" ht="15" customHeight="1" x14ac:dyDescent="0.2">
      <c r="A19" s="51"/>
      <c r="B19" s="50"/>
      <c r="C19" s="50"/>
      <c r="D19" s="4"/>
      <c r="E19" s="78"/>
      <c r="F19" s="78"/>
      <c r="G19" s="85" t="s">
        <v>331</v>
      </c>
      <c r="H19" s="78"/>
      <c r="I19" s="85" t="s">
        <v>376</v>
      </c>
      <c r="J19" s="4"/>
      <c r="K19" s="61" t="s">
        <v>345</v>
      </c>
      <c r="L19" s="94" t="s">
        <v>378</v>
      </c>
      <c r="M19" s="83" t="s">
        <v>346</v>
      </c>
      <c r="N19" s="480" t="str">
        <f>IF(Eingabe!L108="Ausgabe freie Lüftung und Ausgabe vg R-LG",N7,"-")</f>
        <v>-</v>
      </c>
      <c r="O19" s="481"/>
      <c r="P19" s="4"/>
      <c r="Q19" s="84" t="s">
        <v>330</v>
      </c>
      <c r="R19" s="50"/>
      <c r="S19" s="52"/>
      <c r="V19" s="151" t="s">
        <v>374</v>
      </c>
      <c r="W19" s="50">
        <f>Eingabe!W122</f>
        <v>0</v>
      </c>
      <c r="X19" s="126"/>
      <c r="Y19" s="50"/>
      <c r="Z19" s="50"/>
      <c r="AA19" s="50"/>
      <c r="AB19" s="50"/>
      <c r="AD19" s="156" t="s">
        <v>355</v>
      </c>
      <c r="AE19" s="362" t="s">
        <v>68</v>
      </c>
      <c r="AF19" s="379"/>
      <c r="AG19" s="362" t="s">
        <v>69</v>
      </c>
      <c r="AH19" s="363"/>
      <c r="AI19" s="363"/>
      <c r="AJ19" s="364"/>
    </row>
    <row r="20" spans="1:36" ht="9.9499999999999993" customHeight="1" x14ac:dyDescent="0.2">
      <c r="A20" s="51"/>
      <c r="B20" s="4"/>
      <c r="C20" s="4"/>
      <c r="D20" s="4"/>
      <c r="E20" s="78"/>
      <c r="F20" s="78"/>
      <c r="G20" s="78"/>
      <c r="H20" s="78"/>
      <c r="I20" s="85"/>
      <c r="J20" s="4"/>
      <c r="K20" s="4"/>
      <c r="L20" s="89"/>
      <c r="M20" s="4"/>
      <c r="N20" s="4"/>
      <c r="O20" s="4"/>
      <c r="P20" s="4"/>
      <c r="Q20" s="4"/>
      <c r="R20" s="50"/>
      <c r="S20" s="52"/>
      <c r="V20" s="139" t="s">
        <v>58</v>
      </c>
      <c r="W20" s="50">
        <f>Eingabe!W123</f>
        <v>0</v>
      </c>
      <c r="X20" s="126"/>
      <c r="Y20" s="50"/>
      <c r="Z20" s="50"/>
      <c r="AA20" s="50"/>
      <c r="AB20" s="50"/>
      <c r="AD20" s="156"/>
      <c r="AE20" s="24" t="s">
        <v>301</v>
      </c>
      <c r="AF20" s="24" t="s">
        <v>356</v>
      </c>
      <c r="AG20" s="24" t="s">
        <v>357</v>
      </c>
      <c r="AH20" s="374" t="s">
        <v>363</v>
      </c>
      <c r="AI20" s="374"/>
      <c r="AJ20" s="375"/>
    </row>
    <row r="21" spans="1:36" ht="15" customHeight="1" x14ac:dyDescent="0.3">
      <c r="A21" s="51"/>
      <c r="B21" s="4"/>
      <c r="C21" s="4"/>
      <c r="D21" s="33"/>
      <c r="E21" s="78"/>
      <c r="F21" s="78"/>
      <c r="G21" s="78"/>
      <c r="H21" s="78"/>
      <c r="I21" s="85" t="s">
        <v>375</v>
      </c>
      <c r="J21" s="4"/>
      <c r="K21" s="61" t="s">
        <v>345</v>
      </c>
      <c r="L21" s="94" t="s">
        <v>378</v>
      </c>
      <c r="M21" s="4" t="s">
        <v>346</v>
      </c>
      <c r="N21" s="480" t="str">
        <f>IF(Eingabe!L108="Ausgabe freie Lüftung und Ausgabe vg R-LG","-","-")</f>
        <v>-</v>
      </c>
      <c r="O21" s="481"/>
      <c r="P21" s="4"/>
      <c r="Q21" s="84" t="s">
        <v>330</v>
      </c>
      <c r="R21" s="50"/>
      <c r="S21" s="52"/>
      <c r="V21" s="131" t="s">
        <v>353</v>
      </c>
      <c r="W21" s="50">
        <f>Eingabe!W124</f>
        <v>0</v>
      </c>
      <c r="X21" s="126"/>
      <c r="Y21" s="50"/>
      <c r="Z21" s="50"/>
      <c r="AA21" s="50"/>
      <c r="AB21" s="50"/>
      <c r="AD21" s="376" t="s">
        <v>364</v>
      </c>
      <c r="AE21" s="374" t="s">
        <v>365</v>
      </c>
      <c r="AF21" s="374"/>
      <c r="AG21" s="374"/>
      <c r="AH21" s="374" t="s">
        <v>361</v>
      </c>
      <c r="AI21" s="374"/>
      <c r="AJ21" s="378" t="s">
        <v>362</v>
      </c>
    </row>
    <row r="22" spans="1:36" ht="9.9499999999999993" customHeight="1" thickBot="1" x14ac:dyDescent="0.25">
      <c r="A22" s="51"/>
      <c r="B22" s="4"/>
      <c r="C22" s="4"/>
      <c r="D22" s="4"/>
      <c r="E22" s="78"/>
      <c r="F22" s="78"/>
      <c r="G22" s="78"/>
      <c r="H22" s="78"/>
      <c r="I22" s="85"/>
      <c r="J22" s="4"/>
      <c r="K22" s="4"/>
      <c r="L22" s="89"/>
      <c r="M22" s="4"/>
      <c r="N22" s="4"/>
      <c r="O22" s="4"/>
      <c r="P22" s="4"/>
      <c r="Q22" s="4"/>
      <c r="R22" s="50"/>
      <c r="S22" s="52"/>
      <c r="V22" s="131" t="s">
        <v>410</v>
      </c>
      <c r="W22" s="50">
        <f>Eingabe!W125</f>
        <v>0</v>
      </c>
      <c r="X22" s="126"/>
      <c r="Y22" s="50"/>
      <c r="Z22" s="50"/>
      <c r="AA22" s="50"/>
      <c r="AB22" s="50"/>
      <c r="AD22" s="377"/>
      <c r="AE22" s="374"/>
      <c r="AF22" s="374"/>
      <c r="AG22" s="374"/>
      <c r="AH22" s="24" t="s">
        <v>358</v>
      </c>
      <c r="AI22" s="75" t="s">
        <v>359</v>
      </c>
      <c r="AJ22" s="378"/>
    </row>
    <row r="23" spans="1:36" ht="15" customHeight="1" thickBot="1" x14ac:dyDescent="0.25">
      <c r="A23" s="51"/>
      <c r="B23" s="4"/>
      <c r="C23" s="4"/>
      <c r="D23" s="33"/>
      <c r="E23" s="78"/>
      <c r="F23" s="78"/>
      <c r="G23" s="78"/>
      <c r="H23" s="78"/>
      <c r="I23" s="85" t="s">
        <v>440</v>
      </c>
      <c r="J23" s="4"/>
      <c r="K23" s="61" t="s">
        <v>345</v>
      </c>
      <c r="L23" s="94" t="s">
        <v>378</v>
      </c>
      <c r="M23" s="4" t="s">
        <v>346</v>
      </c>
      <c r="N23" s="480" t="str">
        <f>IF(Eingabe!L108="Ausgabe freie Lüftung und Ausgabe vg R-LG",N19,"-")</f>
        <v>-</v>
      </c>
      <c r="O23" s="481"/>
      <c r="P23" s="4"/>
      <c r="Q23" s="84" t="s">
        <v>330</v>
      </c>
      <c r="R23" s="50"/>
      <c r="S23" s="52"/>
      <c r="V23" s="151" t="s">
        <v>371</v>
      </c>
      <c r="W23" s="78">
        <f>Eingabe!W126</f>
        <v>0</v>
      </c>
      <c r="X23" s="78">
        <f>Eingabe!X126</f>
        <v>0</v>
      </c>
      <c r="Y23" s="205">
        <f>Eingabe!Y126</f>
        <v>0</v>
      </c>
      <c r="Z23" s="205">
        <f>Eingabe!Z126</f>
        <v>0</v>
      </c>
      <c r="AA23" s="205">
        <f>Eingabe!AA126</f>
        <v>0</v>
      </c>
      <c r="AB23" s="206">
        <f>Eingabe!AB126</f>
        <v>0</v>
      </c>
      <c r="AD23" s="377"/>
      <c r="AE23" s="374"/>
      <c r="AF23" s="374"/>
      <c r="AG23" s="374"/>
      <c r="AH23" s="374" t="s">
        <v>360</v>
      </c>
      <c r="AI23" s="374"/>
      <c r="AJ23" s="378"/>
    </row>
    <row r="24" spans="1:36" ht="9.9499999999999993" customHeight="1" x14ac:dyDescent="0.2">
      <c r="A24" s="37"/>
      <c r="B24" s="4"/>
      <c r="C24" s="4"/>
      <c r="D24" s="4"/>
      <c r="E24" s="4"/>
      <c r="F24" s="4"/>
      <c r="G24" s="301"/>
      <c r="H24" s="301"/>
      <c r="I24" s="301"/>
      <c r="J24" s="301"/>
      <c r="K24" s="301"/>
      <c r="L24" s="89"/>
      <c r="M24" s="4"/>
      <c r="N24" s="4"/>
      <c r="O24" s="4"/>
      <c r="P24" s="4"/>
      <c r="Q24" s="301"/>
      <c r="R24" s="301"/>
      <c r="S24" s="15"/>
      <c r="V24" s="120"/>
      <c r="W24" s="205" t="s">
        <v>372</v>
      </c>
      <c r="X24" s="135" t="s">
        <v>373</v>
      </c>
      <c r="Y24" s="205" t="s">
        <v>357</v>
      </c>
      <c r="Z24" s="355" t="s">
        <v>437</v>
      </c>
      <c r="AA24" s="355"/>
      <c r="AB24" s="294" t="s">
        <v>464</v>
      </c>
      <c r="AC24" s="73"/>
      <c r="AD24" s="156" t="s">
        <v>366</v>
      </c>
      <c r="AE24" s="76">
        <v>0.5</v>
      </c>
      <c r="AF24" s="298">
        <v>0.6</v>
      </c>
      <c r="AG24" s="77" t="s">
        <v>37</v>
      </c>
      <c r="AH24" s="298">
        <v>0.65</v>
      </c>
      <c r="AI24" s="298">
        <v>0.7</v>
      </c>
      <c r="AJ24" s="299">
        <v>0.8</v>
      </c>
    </row>
    <row r="25" spans="1:36" ht="15" customHeight="1" x14ac:dyDescent="0.2">
      <c r="A25" s="9"/>
      <c r="B25" s="50"/>
      <c r="C25" s="50"/>
      <c r="D25" s="4"/>
      <c r="E25" s="4"/>
      <c r="F25" s="4"/>
      <c r="G25" s="304" t="s">
        <v>332</v>
      </c>
      <c r="H25" s="33"/>
      <c r="I25" s="304" t="s">
        <v>376</v>
      </c>
      <c r="J25" s="4"/>
      <c r="K25" s="61" t="s">
        <v>345</v>
      </c>
      <c r="L25" s="94" t="s">
        <v>380</v>
      </c>
      <c r="M25" s="83" t="s">
        <v>346</v>
      </c>
      <c r="N25" s="480" t="str">
        <f>IF(Eingabe!L108="Ausgabe freie Lüftung und Ausgabe vg R-LG",N9,"-")</f>
        <v>-</v>
      </c>
      <c r="O25" s="481"/>
      <c r="P25" s="4"/>
      <c r="Q25" s="84" t="s">
        <v>330</v>
      </c>
      <c r="R25" s="50"/>
      <c r="S25" s="52"/>
      <c r="V25" s="131"/>
      <c r="W25" s="78"/>
      <c r="X25" s="4"/>
      <c r="Y25" s="78"/>
      <c r="Z25" s="24" t="s">
        <v>438</v>
      </c>
      <c r="AA25" s="75" t="s">
        <v>439</v>
      </c>
      <c r="AB25" s="126"/>
      <c r="AD25" s="156" t="s">
        <v>367</v>
      </c>
      <c r="AE25" s="350">
        <v>0.15</v>
      </c>
      <c r="AF25" s="351"/>
      <c r="AG25" s="298">
        <v>0.45</v>
      </c>
      <c r="AH25" s="362">
        <v>0.15</v>
      </c>
      <c r="AI25" s="363"/>
      <c r="AJ25" s="364"/>
    </row>
    <row r="26" spans="1:36" ht="9.9499999999999993" customHeight="1" x14ac:dyDescent="0.2">
      <c r="A26" s="51"/>
      <c r="B26" s="4"/>
      <c r="C26" s="4"/>
      <c r="D26" s="4"/>
      <c r="E26" s="4"/>
      <c r="F26" s="4"/>
      <c r="G26" s="4"/>
      <c r="H26" s="4"/>
      <c r="I26" s="304"/>
      <c r="J26" s="4"/>
      <c r="K26" s="4"/>
      <c r="L26" s="89"/>
      <c r="M26" s="4"/>
      <c r="N26" s="4"/>
      <c r="O26" s="4"/>
      <c r="P26" s="4"/>
      <c r="Q26" s="4"/>
      <c r="R26" s="50"/>
      <c r="S26" s="52"/>
      <c r="V26" s="289" t="s">
        <v>366</v>
      </c>
      <c r="W26" s="287" t="e">
        <f t="shared" ref="W26:AB29" si="0">AE24*$W$21*$W$17*($W$22*W$23/50)^$W$18</f>
        <v>#NUM!</v>
      </c>
      <c r="X26" s="287" t="e">
        <f t="shared" si="0"/>
        <v>#NUM!</v>
      </c>
      <c r="Y26" s="287" t="e">
        <f t="shared" si="0"/>
        <v>#VALUE!</v>
      </c>
      <c r="Z26" s="287" t="e">
        <f t="shared" si="0"/>
        <v>#NUM!</v>
      </c>
      <c r="AA26" s="287" t="e">
        <f t="shared" si="0"/>
        <v>#NUM!</v>
      </c>
      <c r="AB26" s="290" t="e">
        <f t="shared" si="0"/>
        <v>#NUM!</v>
      </c>
      <c r="AD26" s="156" t="s">
        <v>368</v>
      </c>
      <c r="AE26" s="77" t="s">
        <v>37</v>
      </c>
      <c r="AF26" s="298">
        <v>0.35</v>
      </c>
      <c r="AG26" s="298"/>
      <c r="AH26" s="367" t="s">
        <v>37</v>
      </c>
      <c r="AI26" s="363"/>
      <c r="AJ26" s="364"/>
    </row>
    <row r="27" spans="1:36" ht="15" customHeight="1" thickBot="1" x14ac:dyDescent="0.25">
      <c r="A27" s="51"/>
      <c r="B27" s="4"/>
      <c r="C27" s="4"/>
      <c r="D27" s="33"/>
      <c r="E27" s="33"/>
      <c r="F27" s="33"/>
      <c r="G27" s="33"/>
      <c r="H27" s="33"/>
      <c r="I27" s="304" t="s">
        <v>375</v>
      </c>
      <c r="J27" s="4"/>
      <c r="K27" s="61" t="s">
        <v>345</v>
      </c>
      <c r="L27" s="94" t="s">
        <v>380</v>
      </c>
      <c r="M27" s="4" t="s">
        <v>346</v>
      </c>
      <c r="N27" s="480" t="str">
        <f>IF(Eingabe!L108="Ausgabe freie Lüftung und Ausgabe vg R-LG","-","-")</f>
        <v>-</v>
      </c>
      <c r="O27" s="481"/>
      <c r="P27" s="4"/>
      <c r="Q27" s="84" t="s">
        <v>330</v>
      </c>
      <c r="R27" s="50"/>
      <c r="S27" s="52"/>
      <c r="V27" s="289" t="s">
        <v>367</v>
      </c>
      <c r="W27" s="287" t="e">
        <f>AE25*$W$21*$W$17*($W$22*W$23/50)^$W$18</f>
        <v>#NUM!</v>
      </c>
      <c r="X27" s="287" t="e">
        <f>AE25*$W$21*$W$17*($W$22*X$23/50)^$W$18</f>
        <v>#NUM!</v>
      </c>
      <c r="Y27" s="287" t="e">
        <f t="shared" si="0"/>
        <v>#NUM!</v>
      </c>
      <c r="Z27" s="287" t="e">
        <f t="shared" si="0"/>
        <v>#NUM!</v>
      </c>
      <c r="AA27" s="287" t="e">
        <f>AH25*$W$21*$W$17*($W$22*AA$23/50)^$W$18</f>
        <v>#NUM!</v>
      </c>
      <c r="AB27" s="290" t="e">
        <f>AH25*$W$21*$W$17*($W$22*AB$23/50)^$W$18</f>
        <v>#NUM!</v>
      </c>
      <c r="AD27" s="158" t="s">
        <v>369</v>
      </c>
      <c r="AE27" s="159" t="s">
        <v>37</v>
      </c>
      <c r="AF27" s="159" t="s">
        <v>37</v>
      </c>
      <c r="AG27" s="160">
        <v>0.45</v>
      </c>
      <c r="AH27" s="302">
        <v>0.15</v>
      </c>
      <c r="AI27" s="365">
        <v>0.2</v>
      </c>
      <c r="AJ27" s="366"/>
    </row>
    <row r="28" spans="1:36" ht="9.9499999999999993" customHeight="1" x14ac:dyDescent="0.2">
      <c r="A28" s="51"/>
      <c r="B28" s="4"/>
      <c r="C28" s="4"/>
      <c r="D28" s="4"/>
      <c r="E28" s="4"/>
      <c r="F28" s="4"/>
      <c r="G28" s="4"/>
      <c r="H28" s="4"/>
      <c r="I28" s="304"/>
      <c r="J28" s="4"/>
      <c r="K28" s="4"/>
      <c r="L28" s="89"/>
      <c r="M28" s="4"/>
      <c r="N28" s="4"/>
      <c r="O28" s="4"/>
      <c r="P28" s="4"/>
      <c r="Q28" s="4"/>
      <c r="R28" s="50"/>
      <c r="S28" s="52"/>
      <c r="V28" s="289" t="s">
        <v>368</v>
      </c>
      <c r="W28" s="288"/>
      <c r="X28" s="287" t="e">
        <f>AF26*$W$21*$W$17*($W$22*X$23/50)^$W$18</f>
        <v>#NUM!</v>
      </c>
      <c r="Y28" s="287" t="e">
        <f t="shared" si="0"/>
        <v>#NUM!</v>
      </c>
      <c r="Z28" s="287" t="e">
        <f t="shared" si="0"/>
        <v>#VALUE!</v>
      </c>
      <c r="AA28" s="287" t="e">
        <f>AH26*$W$21*$W$17*($W$22*AA$23/50)^$W$18</f>
        <v>#VALUE!</v>
      </c>
      <c r="AB28" s="290" t="e">
        <f>AH26*$W$21*$W$17*($W$22*AB$23/50)^$W$18</f>
        <v>#VALUE!</v>
      </c>
      <c r="AD28" s="4"/>
      <c r="AE28" s="46"/>
      <c r="AF28" s="46"/>
      <c r="AG28" s="46"/>
      <c r="AH28" s="46"/>
      <c r="AI28" s="50"/>
    </row>
    <row r="29" spans="1:36" ht="15" customHeight="1" thickBot="1" x14ac:dyDescent="0.25">
      <c r="A29" s="51"/>
      <c r="B29" s="4"/>
      <c r="C29" s="4"/>
      <c r="D29" s="33"/>
      <c r="E29" s="33"/>
      <c r="F29" s="33"/>
      <c r="G29" s="33"/>
      <c r="H29" s="33"/>
      <c r="I29" s="304" t="s">
        <v>440</v>
      </c>
      <c r="J29" s="4"/>
      <c r="K29" s="61" t="s">
        <v>345</v>
      </c>
      <c r="L29" s="94" t="s">
        <v>380</v>
      </c>
      <c r="M29" s="4" t="s">
        <v>346</v>
      </c>
      <c r="N29" s="480" t="str">
        <f>IF(Eingabe!L108="Ausgabe freie Lüftung und Ausgabe vg R-LG",N25,"-")</f>
        <v>-</v>
      </c>
      <c r="O29" s="481"/>
      <c r="P29" s="4"/>
      <c r="Q29" s="84" t="s">
        <v>330</v>
      </c>
      <c r="R29" s="50"/>
      <c r="S29" s="52"/>
      <c r="V29" s="291" t="s">
        <v>369</v>
      </c>
      <c r="W29" s="173"/>
      <c r="X29" s="173"/>
      <c r="Y29" s="292" t="e">
        <f t="shared" si="0"/>
        <v>#NUM!</v>
      </c>
      <c r="Z29" s="292" t="e">
        <f t="shared" si="0"/>
        <v>#NUM!</v>
      </c>
      <c r="AA29" s="292" t="e">
        <f>AI27*$W$21*$W$17*($W$22*AA$23/50)^$W$18</f>
        <v>#NUM!</v>
      </c>
      <c r="AB29" s="293" t="e">
        <f>AI27*$W$21*$W$17*($W$22*AB$23/50)^$W$18</f>
        <v>#NUM!</v>
      </c>
      <c r="AD29" s="4"/>
      <c r="AE29" s="4"/>
      <c r="AF29" s="4"/>
      <c r="AG29" s="4"/>
      <c r="AH29" s="46"/>
      <c r="AI29" s="50"/>
    </row>
    <row r="30" spans="1:36" ht="9.9499999999999993" customHeight="1" x14ac:dyDescent="0.2">
      <c r="A30" s="51"/>
      <c r="B30" s="4"/>
      <c r="C30" s="4"/>
      <c r="D30" s="4"/>
      <c r="E30" s="4"/>
      <c r="F30" s="4"/>
      <c r="G30" s="4"/>
      <c r="H30" s="4"/>
      <c r="I30" s="4"/>
      <c r="J30" s="4"/>
      <c r="K30" s="4"/>
      <c r="L30" s="89"/>
      <c r="M30" s="4"/>
      <c r="N30" s="4"/>
      <c r="O30" s="4"/>
      <c r="P30" s="4"/>
      <c r="Q30" s="4"/>
      <c r="R30" s="50"/>
      <c r="S30" s="52"/>
      <c r="V30" s="50"/>
      <c r="W30" s="4"/>
      <c r="X30" s="45"/>
      <c r="Y30" s="4"/>
      <c r="Z30" s="4"/>
      <c r="AD30" s="4"/>
      <c r="AE30" s="4"/>
      <c r="AF30" s="4"/>
      <c r="AG30" s="4"/>
      <c r="AH30" s="4"/>
      <c r="AI30" s="50"/>
    </row>
    <row r="31" spans="1:36" ht="15" customHeight="1" x14ac:dyDescent="0.2">
      <c r="A31" s="51"/>
      <c r="B31" s="50"/>
      <c r="C31" s="50"/>
      <c r="D31" s="4"/>
      <c r="E31" s="78"/>
      <c r="F31" s="78"/>
      <c r="G31" s="85" t="s">
        <v>435</v>
      </c>
      <c r="H31" s="78"/>
      <c r="I31" s="85" t="s">
        <v>376</v>
      </c>
      <c r="J31" s="78"/>
      <c r="K31" s="300" t="s">
        <v>345</v>
      </c>
      <c r="L31" s="95" t="s">
        <v>381</v>
      </c>
      <c r="M31" s="87" t="s">
        <v>346</v>
      </c>
      <c r="N31" s="482" t="str">
        <f>IF(Eingabe!L108="Ausgabe freie Lüftung und Ausgabe vg R-LG",N11,"-")</f>
        <v>-</v>
      </c>
      <c r="O31" s="483"/>
      <c r="P31" s="78"/>
      <c r="Q31" s="88" t="s">
        <v>330</v>
      </c>
      <c r="R31" s="50"/>
      <c r="S31" s="52"/>
      <c r="V31" s="50"/>
      <c r="W31" s="4"/>
      <c r="X31" s="4"/>
      <c r="Y31" s="4"/>
      <c r="Z31" s="4"/>
      <c r="AD31" s="4"/>
      <c r="AE31" s="4"/>
      <c r="AF31" s="4"/>
      <c r="AG31" s="4"/>
      <c r="AH31" s="14"/>
      <c r="AI31" s="50"/>
    </row>
    <row r="32" spans="1:36" ht="9.9499999999999993" customHeight="1" x14ac:dyDescent="0.2">
      <c r="A32" s="51"/>
      <c r="B32" s="4"/>
      <c r="C32" s="4"/>
      <c r="D32" s="4"/>
      <c r="E32" s="78"/>
      <c r="F32" s="78"/>
      <c r="G32" s="78"/>
      <c r="H32" s="78"/>
      <c r="I32" s="85"/>
      <c r="J32" s="78"/>
      <c r="K32" s="78"/>
      <c r="L32" s="96"/>
      <c r="M32" s="78"/>
      <c r="N32" s="78"/>
      <c r="O32" s="78"/>
      <c r="P32" s="78"/>
      <c r="Q32" s="78"/>
      <c r="R32" s="50"/>
      <c r="S32" s="52"/>
      <c r="V32" s="50"/>
      <c r="W32" s="4"/>
      <c r="X32" s="4"/>
      <c r="Y32" s="4"/>
      <c r="Z32" s="4"/>
      <c r="AD32" s="4"/>
      <c r="AE32" s="4"/>
      <c r="AF32" s="4"/>
      <c r="AG32" s="74"/>
      <c r="AH32" s="4"/>
      <c r="AI32" s="50"/>
    </row>
    <row r="33" spans="1:35" x14ac:dyDescent="0.2">
      <c r="A33" s="51"/>
      <c r="B33" s="4"/>
      <c r="C33" s="4"/>
      <c r="D33" s="33"/>
      <c r="E33" s="78"/>
      <c r="F33" s="78"/>
      <c r="G33" s="78"/>
      <c r="H33" s="78"/>
      <c r="I33" s="85" t="s">
        <v>375</v>
      </c>
      <c r="J33" s="78"/>
      <c r="K33" s="300" t="s">
        <v>345</v>
      </c>
      <c r="L33" s="95" t="s">
        <v>381</v>
      </c>
      <c r="M33" s="78" t="s">
        <v>346</v>
      </c>
      <c r="N33" s="482" t="str">
        <f>IF(Eingabe!L108="Ausgabe freie Lüftung und Ausgabe vg R-LG","-","-")</f>
        <v>-</v>
      </c>
      <c r="O33" s="483"/>
      <c r="P33" s="78"/>
      <c r="Q33" s="88" t="s">
        <v>330</v>
      </c>
      <c r="R33" s="50"/>
      <c r="S33" s="52"/>
      <c r="V33" s="50"/>
      <c r="W33" s="4"/>
      <c r="X33" s="4"/>
      <c r="Y33" s="4"/>
      <c r="Z33" s="4"/>
      <c r="AD33" s="4"/>
      <c r="AE33" s="4"/>
      <c r="AF33" s="4"/>
      <c r="AG33" s="74"/>
      <c r="AH33" s="74"/>
      <c r="AI33" s="50"/>
    </row>
    <row r="34" spans="1:35" x14ac:dyDescent="0.2">
      <c r="A34" s="51"/>
      <c r="B34" s="4"/>
      <c r="C34" s="4"/>
      <c r="D34" s="4"/>
      <c r="E34" s="78"/>
      <c r="F34" s="78"/>
      <c r="G34" s="78"/>
      <c r="H34" s="78"/>
      <c r="I34" s="85"/>
      <c r="J34" s="78"/>
      <c r="K34" s="78"/>
      <c r="L34" s="96"/>
      <c r="M34" s="78"/>
      <c r="N34" s="78"/>
      <c r="O34" s="78"/>
      <c r="P34" s="78"/>
      <c r="Q34" s="78"/>
      <c r="R34" s="50"/>
      <c r="S34" s="52"/>
      <c r="AD34" s="4"/>
      <c r="AE34" s="4"/>
      <c r="AF34" s="4"/>
      <c r="AG34" s="74"/>
      <c r="AH34" s="74"/>
      <c r="AI34" s="50"/>
    </row>
    <row r="35" spans="1:35" x14ac:dyDescent="0.2">
      <c r="A35" s="51"/>
      <c r="B35" s="4"/>
      <c r="C35" s="4"/>
      <c r="D35" s="33"/>
      <c r="E35" s="78"/>
      <c r="F35" s="78"/>
      <c r="G35" s="78"/>
      <c r="H35" s="78"/>
      <c r="I35" s="85" t="s">
        <v>440</v>
      </c>
      <c r="J35" s="78"/>
      <c r="K35" s="300" t="s">
        <v>345</v>
      </c>
      <c r="L35" s="95" t="s">
        <v>381</v>
      </c>
      <c r="M35" s="78" t="s">
        <v>346</v>
      </c>
      <c r="N35" s="482" t="str">
        <f>IF(Eingabe!L108="Ausgabe freie Lüftung und Ausgabe vg R-LG",N31,"-")</f>
        <v>-</v>
      </c>
      <c r="O35" s="483"/>
      <c r="P35" s="78"/>
      <c r="Q35" s="88" t="s">
        <v>330</v>
      </c>
      <c r="R35" s="50"/>
      <c r="S35" s="52"/>
      <c r="AD35" s="4"/>
      <c r="AE35" s="4"/>
      <c r="AF35" s="4"/>
      <c r="AG35" s="74"/>
      <c r="AH35" s="74"/>
      <c r="AI35" s="50"/>
    </row>
    <row r="36" spans="1:35" x14ac:dyDescent="0.2">
      <c r="A36" s="53"/>
      <c r="B36" s="54"/>
      <c r="C36" s="54"/>
      <c r="D36" s="54"/>
      <c r="E36" s="54"/>
      <c r="F36" s="54"/>
      <c r="G36" s="54"/>
      <c r="H36" s="54"/>
      <c r="I36" s="54"/>
      <c r="J36" s="54"/>
      <c r="K36" s="54"/>
      <c r="L36" s="54"/>
      <c r="M36" s="54"/>
      <c r="N36" s="54"/>
      <c r="O36" s="54"/>
      <c r="P36" s="54"/>
      <c r="Q36" s="54"/>
      <c r="R36" s="54"/>
      <c r="S36" s="60"/>
      <c r="AD36" s="4"/>
      <c r="AE36" s="4"/>
      <c r="AF36" s="4"/>
      <c r="AG36" s="74"/>
      <c r="AH36" s="74"/>
      <c r="AI36" s="50"/>
    </row>
    <row r="37" spans="1:35" ht="20.25" x14ac:dyDescent="0.3">
      <c r="A37" s="329" t="s">
        <v>488</v>
      </c>
      <c r="B37" s="330"/>
      <c r="C37" s="330"/>
      <c r="D37" s="330"/>
      <c r="E37" s="330"/>
      <c r="F37" s="330"/>
      <c r="G37" s="330"/>
      <c r="H37" s="330"/>
      <c r="I37" s="331"/>
      <c r="J37" s="330"/>
      <c r="K37" s="330"/>
      <c r="L37" s="330"/>
      <c r="M37" s="50"/>
      <c r="N37" s="50"/>
      <c r="O37" s="50"/>
      <c r="P37" s="50"/>
      <c r="Q37" s="50"/>
      <c r="R37" s="50"/>
      <c r="S37" s="50"/>
      <c r="AD37" s="4"/>
      <c r="AE37" s="4"/>
      <c r="AF37" s="4"/>
      <c r="AG37" s="74"/>
      <c r="AH37" s="74"/>
      <c r="AI37" s="50"/>
    </row>
    <row r="39" spans="1:35" ht="18" x14ac:dyDescent="0.2">
      <c r="A39" s="36"/>
      <c r="B39" s="11"/>
      <c r="C39" s="11"/>
      <c r="D39" s="484" t="s">
        <v>379</v>
      </c>
      <c r="E39" s="485"/>
      <c r="F39" s="485"/>
      <c r="G39" s="485"/>
      <c r="H39" s="485"/>
      <c r="I39" s="485"/>
      <c r="J39" s="485"/>
      <c r="K39" s="485"/>
      <c r="L39" s="486"/>
      <c r="M39" s="11"/>
      <c r="N39" s="487" t="str">
        <f>IF(Eingabe!$L$108="Ausgabe freie Lüftung und Ausgabe vg R-LG","Zu-/Abluftsystem",IF(Eingabe!$L$108="Ausgabe vg Lüftung","siehe Ausgabe vg Lüftung!","siehe Ausgabe freie Lüftung"))</f>
        <v>siehe Ausgabe freie Lüftung</v>
      </c>
      <c r="O39" s="488"/>
      <c r="P39" s="488"/>
      <c r="Q39" s="488"/>
      <c r="R39" s="488"/>
      <c r="S39" s="489"/>
      <c r="U39" s="50"/>
      <c r="V39" s="50"/>
      <c r="W39" s="50"/>
    </row>
    <row r="40" spans="1:35" x14ac:dyDescent="0.2">
      <c r="A40" s="51"/>
      <c r="B40" s="50"/>
      <c r="C40" s="50"/>
      <c r="D40" s="50"/>
      <c r="E40" s="50"/>
      <c r="F40" s="50"/>
      <c r="G40" s="50"/>
      <c r="H40" s="50"/>
      <c r="I40" s="50"/>
      <c r="J40" s="50"/>
      <c r="K40" s="50"/>
      <c r="L40" s="50"/>
      <c r="M40" s="50"/>
      <c r="N40" s="50"/>
      <c r="O40" s="50"/>
      <c r="P40" s="50"/>
      <c r="Q40" s="50"/>
      <c r="R40" s="50"/>
      <c r="S40" s="52"/>
      <c r="U40" s="50"/>
      <c r="V40" s="50"/>
      <c r="W40" s="50"/>
    </row>
    <row r="41" spans="1:35" x14ac:dyDescent="0.2">
      <c r="A41" s="44" t="s">
        <v>382</v>
      </c>
      <c r="B41" s="55"/>
      <c r="C41" s="55"/>
      <c r="D41" s="11"/>
      <c r="E41" s="11"/>
      <c r="F41" s="11"/>
      <c r="G41" s="105" t="s">
        <v>366</v>
      </c>
      <c r="H41" s="106"/>
      <c r="I41" s="105" t="s">
        <v>367</v>
      </c>
      <c r="J41" s="106"/>
      <c r="K41" s="105" t="s">
        <v>383</v>
      </c>
      <c r="L41" s="505" t="s">
        <v>385</v>
      </c>
      <c r="M41" s="506"/>
      <c r="N41" s="107" t="s">
        <v>384</v>
      </c>
      <c r="O41" s="107" t="s">
        <v>368</v>
      </c>
      <c r="P41" s="106"/>
      <c r="Q41" s="105" t="s">
        <v>369</v>
      </c>
      <c r="R41" s="507"/>
      <c r="S41" s="508"/>
      <c r="U41" s="50"/>
      <c r="V41" s="50"/>
      <c r="W41" s="50"/>
    </row>
    <row r="42" spans="1:35" ht="22.5" x14ac:dyDescent="0.2">
      <c r="A42" s="97" t="s">
        <v>387</v>
      </c>
      <c r="B42" s="492" t="str">
        <f>IF(Eingabe!$L$108="Ausgabe freie Lüftung und Ausgabe vg R-LG",IF(AND(ISTEXT(Eingabe!$N91),Eingabe!L91="ja"),Eingabe!$I91,""),"")</f>
        <v/>
      </c>
      <c r="C42" s="493"/>
      <c r="D42" s="493"/>
      <c r="E42" s="494"/>
      <c r="F42" s="99"/>
      <c r="G42" s="102" t="str">
        <f>CHAR(111)</f>
        <v>o</v>
      </c>
      <c r="H42" s="4"/>
      <c r="I42" s="102" t="str">
        <f>IF($B42="",CHAR(111),IF(Eingabe!$N$63="freie Lüftung",CHAR(254),CHAR(111)))</f>
        <v>o</v>
      </c>
      <c r="J42" s="4"/>
      <c r="K42" s="102" t="str">
        <f>CHAR(111)</f>
        <v>o</v>
      </c>
      <c r="L42" s="495" t="str">
        <f>CHAR(111)</f>
        <v>o</v>
      </c>
      <c r="M42" s="496"/>
      <c r="N42" s="102" t="str">
        <f>CHAR(111)</f>
        <v>o</v>
      </c>
      <c r="O42" s="102" t="str">
        <f>CHAR(111)</f>
        <v>o</v>
      </c>
      <c r="P42" s="4"/>
      <c r="Q42" s="102" t="str">
        <f>IF($B42="",CHAR(111),IF(Eingabe!$L$108="Ausgabe freie Lüftung und Ausgabe vg R-LG",CHAR(254),CHAR(111)))</f>
        <v>o</v>
      </c>
      <c r="R42" s="497"/>
      <c r="S42" s="498"/>
      <c r="U42" s="50"/>
      <c r="V42" s="50"/>
      <c r="W42" s="50"/>
    </row>
    <row r="43" spans="1:35" s="5" customFormat="1" x14ac:dyDescent="0.2">
      <c r="A43" s="212" t="s">
        <v>386</v>
      </c>
      <c r="B43" s="28" t="str">
        <f>IF(B42="","",Eingabe!Q91)</f>
        <v/>
      </c>
      <c r="C43" s="28" t="s">
        <v>25</v>
      </c>
      <c r="D43" s="100" t="s">
        <v>345</v>
      </c>
      <c r="E43" s="213" t="s">
        <v>389</v>
      </c>
      <c r="F43" s="92"/>
      <c r="G43" s="93" t="str">
        <f>IF(G42="o","-",IF(Eingabe!$X$67="Querlüftung (FS)",2*Eingabe!$Y$86/(Eingabe!$Y$101+Eingabe!$Y$84)*$N$19,IF(Eingabe!$X$67="Querlüftung",2*Eingabe!$Y$86/(Eingabe!$Y$101+Eingabe!$Y$84)*$N$25,IF(Eingabe!$X$67="Schachtlüftung",Eingabe!$Y$86/Eingabe!$Y$101*$N$25,"Fehler"))))</f>
        <v>-</v>
      </c>
      <c r="H43" s="92"/>
      <c r="I43" s="93" t="str">
        <f>IF(I42="o","-",IF(Eingabe!$X$67="Querlüftung (FS)",2*Eingabe!$Y$86/(Eingabe!$Y$101+Eingabe!$Y$84)*$N$21,IF(Eingabe!$X$67="Querlüftung",2*Eingabe!$Y$86/(Eingabe!$Y$101+Eingabe!$Y$84)*$N$27,IF(Eingabe!$X$67="Schachtlüftung",Eingabe!$Y$86/Eingabe!$Y$101*$N$27,"Fehler"))))</f>
        <v>-</v>
      </c>
      <c r="J43" s="73"/>
      <c r="K43" s="93" t="s">
        <v>37</v>
      </c>
      <c r="L43" s="499" t="s">
        <v>37</v>
      </c>
      <c r="M43" s="500"/>
      <c r="N43" s="93" t="s">
        <v>37</v>
      </c>
      <c r="O43" s="93" t="s">
        <v>37</v>
      </c>
      <c r="P43" s="73"/>
      <c r="Q43" s="93" t="str">
        <f>IF(Q42="o","-",IF(ISNUMBER(Eingabe!AM91),Eingabe!AM91,"-"))</f>
        <v>-</v>
      </c>
      <c r="R43" s="501"/>
      <c r="S43" s="502"/>
      <c r="U43" s="4"/>
      <c r="V43" s="4"/>
      <c r="W43" s="4"/>
    </row>
    <row r="44" spans="1:35" s="5" customFormat="1" ht="22.5" x14ac:dyDescent="0.2">
      <c r="A44" s="97" t="s">
        <v>387</v>
      </c>
      <c r="B44" s="492" t="str">
        <f>IF(Eingabe!$L$108="Ausgabe freie Lüftung und Ausgabe vg R-LG",IF(AND(ISTEXT(Eingabe!$N92),Eingabe!L92="ja"),Eingabe!$I92,""),"")</f>
        <v/>
      </c>
      <c r="C44" s="493"/>
      <c r="D44" s="493"/>
      <c r="E44" s="494"/>
      <c r="F44" s="99"/>
      <c r="G44" s="102" t="str">
        <f t="shared" ref="G44" si="1">CHAR(111)</f>
        <v>o</v>
      </c>
      <c r="H44" s="4"/>
      <c r="I44" s="102" t="str">
        <f>IF($B44="",CHAR(111),IF(Eingabe!$N$63="freie Lüftung",CHAR(254),CHAR(111)))</f>
        <v>o</v>
      </c>
      <c r="J44" s="4"/>
      <c r="K44" s="102" t="str">
        <f>CHAR(111)</f>
        <v>o</v>
      </c>
      <c r="L44" s="495" t="str">
        <f>CHAR(111)</f>
        <v>o</v>
      </c>
      <c r="M44" s="496"/>
      <c r="N44" s="102" t="str">
        <f>CHAR(111)</f>
        <v>o</v>
      </c>
      <c r="O44" s="102" t="str">
        <f>CHAR(111)</f>
        <v>o</v>
      </c>
      <c r="P44" s="4"/>
      <c r="Q44" s="102" t="str">
        <f>IF($B44="",CHAR(111),IF(Eingabe!$L$108="Ausgabe freie Lüftung und Ausgabe vg R-LG",CHAR(254),CHAR(111)))</f>
        <v>o</v>
      </c>
      <c r="R44" s="497"/>
      <c r="S44" s="498"/>
      <c r="U44" s="4"/>
      <c r="V44" s="4"/>
      <c r="W44" s="4"/>
    </row>
    <row r="45" spans="1:35" s="5" customFormat="1" x14ac:dyDescent="0.2">
      <c r="A45" s="212" t="s">
        <v>386</v>
      </c>
      <c r="B45" s="28" t="str">
        <f>IF(B44="","",Eingabe!Q92)</f>
        <v/>
      </c>
      <c r="C45" s="28" t="s">
        <v>25</v>
      </c>
      <c r="D45" s="100" t="s">
        <v>345</v>
      </c>
      <c r="E45" s="213" t="s">
        <v>389</v>
      </c>
      <c r="F45" s="92"/>
      <c r="G45" s="93" t="str">
        <f>IF(G44="o","-",IF(Eingabe!$X$67="Querlüftung (FS)",2*Eingabe!$Y$86/(Eingabe!$Y$101+Eingabe!$Y$84)*$N$19,IF(Eingabe!$X$67="Querlüftung",2*Eingabe!$Y$86/(Eingabe!$Y$101+Eingabe!$Y$84)*$N$25,IF(Eingabe!$X$67="Schachtlüftung",Eingabe!$Y$86/Eingabe!$Y$101*$N$25,"Fehler"))))</f>
        <v>-</v>
      </c>
      <c r="H45" s="92"/>
      <c r="I45" s="93" t="str">
        <f>IF(I44="o","-",IF(Eingabe!$X$67="Querlüftung (FS)",2*Eingabe!$Y$87/(Eingabe!$Y$101+Eingabe!$Y$84)*$N$21,IF(Eingabe!$X$67="Querlüftung",2*Eingabe!$Y$87/(Eingabe!$Y$101+Eingabe!$Y$84)*$N$27,IF(Eingabe!$X$67="Schachtlüftung",Eingabe!$Y$87/Eingabe!$Y$101*$N$27,"Fehler"))))</f>
        <v>-</v>
      </c>
      <c r="J45" s="73"/>
      <c r="K45" s="93" t="s">
        <v>37</v>
      </c>
      <c r="L45" s="499" t="s">
        <v>37</v>
      </c>
      <c r="M45" s="500"/>
      <c r="N45" s="93" t="s">
        <v>37</v>
      </c>
      <c r="O45" s="93" t="s">
        <v>37</v>
      </c>
      <c r="P45" s="73"/>
      <c r="Q45" s="93" t="str">
        <f>IF(Q44="o","-",IF(ISNUMBER(Eingabe!AM92),Eingabe!AM92,"-"))</f>
        <v>-</v>
      </c>
      <c r="R45" s="501"/>
      <c r="S45" s="502"/>
    </row>
    <row r="46" spans="1:35" s="5" customFormat="1" ht="22.5" x14ac:dyDescent="0.2">
      <c r="A46" s="97" t="s">
        <v>387</v>
      </c>
      <c r="B46" s="492" t="str">
        <f>IF(Eingabe!$L$108="Ausgabe freie Lüftung und Ausgabe vg R-LG",IF(AND(ISTEXT(Eingabe!$N93),Eingabe!L93="ja"),Eingabe!$I93,""),"")</f>
        <v/>
      </c>
      <c r="C46" s="493"/>
      <c r="D46" s="493"/>
      <c r="E46" s="494"/>
      <c r="F46" s="99"/>
      <c r="G46" s="102" t="str">
        <f t="shared" ref="G46" si="2">CHAR(111)</f>
        <v>o</v>
      </c>
      <c r="H46" s="4"/>
      <c r="I46" s="102" t="str">
        <f>IF($B46="",CHAR(111),IF(Eingabe!$N$63="freie Lüftung",CHAR(254),CHAR(111)))</f>
        <v>o</v>
      </c>
      <c r="J46" s="4"/>
      <c r="K46" s="102" t="str">
        <f>CHAR(111)</f>
        <v>o</v>
      </c>
      <c r="L46" s="495" t="str">
        <f>CHAR(111)</f>
        <v>o</v>
      </c>
      <c r="M46" s="496"/>
      <c r="N46" s="102" t="str">
        <f>CHAR(111)</f>
        <v>o</v>
      </c>
      <c r="O46" s="102" t="str">
        <f>CHAR(111)</f>
        <v>o</v>
      </c>
      <c r="P46" s="4"/>
      <c r="Q46" s="102" t="str">
        <f>IF($B46="",CHAR(111),IF(Eingabe!$L$108="Ausgabe freie Lüftung und Ausgabe vg R-LG",CHAR(254),CHAR(111)))</f>
        <v>o</v>
      </c>
      <c r="R46" s="503"/>
      <c r="S46" s="504"/>
    </row>
    <row r="47" spans="1:35" s="5" customFormat="1" x14ac:dyDescent="0.2">
      <c r="A47" s="212" t="s">
        <v>386</v>
      </c>
      <c r="B47" s="28" t="str">
        <f>IF(B46="","",Eingabe!Q93)</f>
        <v/>
      </c>
      <c r="C47" s="28" t="s">
        <v>25</v>
      </c>
      <c r="D47" s="100" t="s">
        <v>345</v>
      </c>
      <c r="E47" s="213" t="s">
        <v>389</v>
      </c>
      <c r="F47" s="92"/>
      <c r="G47" s="93" t="str">
        <f>IF(G46="o","-",IF(Eingabe!$X$67="Querlüftung (FS)",2*Eingabe!$Y$86/(Eingabe!$Y$101+Eingabe!$Y$84)*$N$19,IF(Eingabe!$X$67="Querlüftung",2*Eingabe!$Y$86/(Eingabe!$Y$101+Eingabe!$Y$84)*$N$25,IF(Eingabe!$X$67="Schachtlüftung",Eingabe!$Y$86/Eingabe!$Y$101*$N$25,"Fehler"))))</f>
        <v>-</v>
      </c>
      <c r="H47" s="92"/>
      <c r="I47" s="93" t="str">
        <f>IF(I46="o","-",IF(Eingabe!$X$67="Querlüftung (FS)",2*Eingabe!$Y$88/(Eingabe!$Y$101+Eingabe!$Y$84)*$N$21,IF(Eingabe!$X$67="Querlüftung",2*Eingabe!$Y$88/(Eingabe!$Y$101+Eingabe!$Y$84)*$N$27,IF(Eingabe!$X$67="Schachtlüftung",Eingabe!$Y$88/Eingabe!$Y$101*$N$27,"Fehler"))))</f>
        <v>-</v>
      </c>
      <c r="J47" s="73"/>
      <c r="K47" s="93" t="s">
        <v>37</v>
      </c>
      <c r="L47" s="499" t="s">
        <v>37</v>
      </c>
      <c r="M47" s="500"/>
      <c r="N47" s="93" t="s">
        <v>37</v>
      </c>
      <c r="O47" s="93" t="s">
        <v>37</v>
      </c>
      <c r="P47" s="73"/>
      <c r="Q47" s="93" t="str">
        <f>IF(Q46="o","-",IF(ISNUMBER(Eingabe!AM93),Eingabe!AM93,"-"))</f>
        <v>-</v>
      </c>
      <c r="R47" s="509"/>
      <c r="S47" s="510"/>
    </row>
    <row r="48" spans="1:35" s="5" customFormat="1" ht="22.5" x14ac:dyDescent="0.2">
      <c r="A48" s="97" t="s">
        <v>387</v>
      </c>
      <c r="B48" s="492" t="str">
        <f>IF(Eingabe!$L$108="Ausgabe freie Lüftung und Ausgabe vg R-LG",IF(AND(ISTEXT(Eingabe!$N94),Eingabe!L94="ja"),Eingabe!$I94,""),"")</f>
        <v/>
      </c>
      <c r="C48" s="493"/>
      <c r="D48" s="493"/>
      <c r="E48" s="494"/>
      <c r="F48" s="99"/>
      <c r="G48" s="102" t="str">
        <f t="shared" ref="G48" si="3">CHAR(111)</f>
        <v>o</v>
      </c>
      <c r="H48" s="4"/>
      <c r="I48" s="102" t="str">
        <f>IF($B48="",CHAR(111),IF(Eingabe!$N$63="freie Lüftung",CHAR(254),CHAR(111)))</f>
        <v>o</v>
      </c>
      <c r="J48" s="4"/>
      <c r="K48" s="102" t="str">
        <f>CHAR(111)</f>
        <v>o</v>
      </c>
      <c r="L48" s="495" t="str">
        <f>CHAR(111)</f>
        <v>o</v>
      </c>
      <c r="M48" s="496"/>
      <c r="N48" s="102" t="str">
        <f>CHAR(111)</f>
        <v>o</v>
      </c>
      <c r="O48" s="102" t="str">
        <f>CHAR(111)</f>
        <v>o</v>
      </c>
      <c r="P48" s="4"/>
      <c r="Q48" s="102" t="str">
        <f>IF($B48="",CHAR(111),IF(Eingabe!$L$108="Ausgabe freie Lüftung und Ausgabe vg R-LG",CHAR(254),CHAR(111)))</f>
        <v>o</v>
      </c>
      <c r="R48" s="503"/>
      <c r="S48" s="504"/>
    </row>
    <row r="49" spans="1:19" s="5" customFormat="1" x14ac:dyDescent="0.2">
      <c r="A49" s="212" t="s">
        <v>386</v>
      </c>
      <c r="B49" s="28" t="str">
        <f>IF(B48="","",Eingabe!Q94)</f>
        <v/>
      </c>
      <c r="C49" s="28" t="s">
        <v>25</v>
      </c>
      <c r="D49" s="100" t="s">
        <v>345</v>
      </c>
      <c r="E49" s="213" t="s">
        <v>389</v>
      </c>
      <c r="F49" s="92"/>
      <c r="G49" s="93" t="str">
        <f>IF(G48="o","-",IF(Eingabe!$X$67="Querlüftung (FS)",2*Eingabe!$Y$86/(Eingabe!$Y$101+Eingabe!$Y$84)*$N$19,IF(Eingabe!$X$67="Querlüftung",2*Eingabe!$Y$86/(Eingabe!$Y$101+Eingabe!$Y$84)*$N$25,IF(Eingabe!$X$67="Schachtlüftung",Eingabe!$Y$86/Eingabe!$Y$101*$N$25,"Fehler"))))</f>
        <v>-</v>
      </c>
      <c r="H49" s="92"/>
      <c r="I49" s="93" t="str">
        <f>IF(I48="o","-",IF(Eingabe!$X$67="Querlüftung (FS)",2*Eingabe!$Y$89/(Eingabe!$Y$101+Eingabe!$Y$84)*$N$21,IF(Eingabe!$X$67="Querlüftung",2*Eingabe!$Y$89/(Eingabe!$Y$101+Eingabe!$Y$84)*$N$27,IF(Eingabe!$X$67="Schachtlüftung",Eingabe!$Y$89/Eingabe!$Y$101*$N$27,"Fehler"))))</f>
        <v>-</v>
      </c>
      <c r="J49" s="73"/>
      <c r="K49" s="93" t="s">
        <v>37</v>
      </c>
      <c r="L49" s="499" t="s">
        <v>37</v>
      </c>
      <c r="M49" s="500"/>
      <c r="N49" s="93" t="s">
        <v>37</v>
      </c>
      <c r="O49" s="93" t="s">
        <v>37</v>
      </c>
      <c r="P49" s="73"/>
      <c r="Q49" s="104" t="str">
        <f>IF(Q48="o","-",IF(ISNUMBER(Eingabe!AM94),Eingabe!AM94,"-"))</f>
        <v>-</v>
      </c>
      <c r="R49" s="509"/>
      <c r="S49" s="510"/>
    </row>
    <row r="50" spans="1:19" s="5" customFormat="1" ht="22.5" x14ac:dyDescent="0.2">
      <c r="A50" s="97" t="s">
        <v>387</v>
      </c>
      <c r="B50" s="492" t="str">
        <f>IF(Eingabe!$L$108="Ausgabe freie Lüftung und Ausgabe vg R-LG",IF(AND(ISTEXT(Eingabe!$N95),Eingabe!L95="ja"),Eingabe!$I95,""),"")</f>
        <v/>
      </c>
      <c r="C50" s="493"/>
      <c r="D50" s="493"/>
      <c r="E50" s="494"/>
      <c r="F50" s="99"/>
      <c r="G50" s="102" t="str">
        <f t="shared" ref="G50" si="4">CHAR(111)</f>
        <v>o</v>
      </c>
      <c r="H50" s="4"/>
      <c r="I50" s="102" t="str">
        <f>IF($B50="",CHAR(111),IF(Eingabe!$N$63="freie Lüftung",CHAR(254),CHAR(111)))</f>
        <v>o</v>
      </c>
      <c r="J50" s="4"/>
      <c r="K50" s="102" t="str">
        <f>CHAR(111)</f>
        <v>o</v>
      </c>
      <c r="L50" s="495" t="str">
        <f>CHAR(111)</f>
        <v>o</v>
      </c>
      <c r="M50" s="496"/>
      <c r="N50" s="102" t="str">
        <f>CHAR(111)</f>
        <v>o</v>
      </c>
      <c r="O50" s="102" t="str">
        <f>CHAR(111)</f>
        <v>o</v>
      </c>
      <c r="P50" s="4"/>
      <c r="Q50" s="102" t="str">
        <f>IF($B50="",CHAR(111),IF(Eingabe!$L$108="Ausgabe freie Lüftung und Ausgabe vg R-LG",CHAR(254),CHAR(111)))</f>
        <v>o</v>
      </c>
      <c r="R50" s="503"/>
      <c r="S50" s="504"/>
    </row>
    <row r="51" spans="1:19" s="5" customFormat="1" x14ac:dyDescent="0.2">
      <c r="A51" s="212" t="s">
        <v>386</v>
      </c>
      <c r="B51" s="28" t="str">
        <f>IF(B50="","",Eingabe!Q95)</f>
        <v/>
      </c>
      <c r="C51" s="28" t="s">
        <v>25</v>
      </c>
      <c r="D51" s="100" t="s">
        <v>345</v>
      </c>
      <c r="E51" s="213" t="s">
        <v>389</v>
      </c>
      <c r="F51" s="92"/>
      <c r="G51" s="93" t="str">
        <f>IF(G50="o","-",IF(Eingabe!$X$67="Querlüftung (FS)",2*Eingabe!$Y$86/(Eingabe!$Y$101+Eingabe!$Y$84)*$N$19,IF(Eingabe!$X$67="Querlüftung",2*Eingabe!$Y$86/(Eingabe!$Y$101+Eingabe!$Y$84)*$N$25,IF(Eingabe!$X$67="Schachtlüftung",Eingabe!$Y$86/Eingabe!$Y$101*$N$25,"Fehler"))))</f>
        <v>-</v>
      </c>
      <c r="H51" s="92"/>
      <c r="I51" s="93" t="str">
        <f>IF(I50="o","-",IF(Eingabe!$X$67="Querlüftung (FS)",2*Eingabe!$Y$90/(Eingabe!$Y$101+Eingabe!$Y$84)*$N$21,IF(Eingabe!$X$67="Querlüftung",2*Eingabe!$Y$90/(Eingabe!$Y$101+Eingabe!$Y$84)*$N$27,IF(Eingabe!$X$67="Schachtlüftung",Eingabe!$Y$90/Eingabe!$Y$101*$N$27,"Fehler"))))</f>
        <v>-</v>
      </c>
      <c r="J51" s="73"/>
      <c r="K51" s="93" t="s">
        <v>37</v>
      </c>
      <c r="L51" s="499" t="s">
        <v>37</v>
      </c>
      <c r="M51" s="500"/>
      <c r="N51" s="93" t="s">
        <v>37</v>
      </c>
      <c r="O51" s="93" t="s">
        <v>37</v>
      </c>
      <c r="P51" s="73"/>
      <c r="Q51" s="93" t="str">
        <f>IF(Q50="o","-",IF(ISNUMBER(Eingabe!AM95),Eingabe!AM95,"-"))</f>
        <v>-</v>
      </c>
      <c r="R51" s="509"/>
      <c r="S51" s="510"/>
    </row>
    <row r="52" spans="1:19" s="5" customFormat="1" ht="22.5" x14ac:dyDescent="0.2">
      <c r="A52" s="97" t="s">
        <v>387</v>
      </c>
      <c r="B52" s="492" t="str">
        <f>IF(Eingabe!$L$108="Ausgabe freie Lüftung und Ausgabe vg R-LG",IF(AND(ISTEXT(Eingabe!$N96),Eingabe!L96="ja"),Eingabe!$I96,""),"")</f>
        <v/>
      </c>
      <c r="C52" s="493"/>
      <c r="D52" s="493"/>
      <c r="E52" s="494"/>
      <c r="F52" s="99"/>
      <c r="G52" s="102" t="str">
        <f t="shared" ref="G52" si="5">CHAR(111)</f>
        <v>o</v>
      </c>
      <c r="H52" s="4"/>
      <c r="I52" s="102" t="str">
        <f>IF($B52="",CHAR(111),IF(Eingabe!$N$63="freie Lüftung",CHAR(254),CHAR(111)))</f>
        <v>o</v>
      </c>
      <c r="J52" s="4"/>
      <c r="K52" s="102" t="str">
        <f>CHAR(111)</f>
        <v>o</v>
      </c>
      <c r="L52" s="495" t="str">
        <f>CHAR(111)</f>
        <v>o</v>
      </c>
      <c r="M52" s="496"/>
      <c r="N52" s="102" t="str">
        <f>CHAR(111)</f>
        <v>o</v>
      </c>
      <c r="O52" s="102" t="str">
        <f>CHAR(111)</f>
        <v>o</v>
      </c>
      <c r="P52" s="4"/>
      <c r="Q52" s="102" t="str">
        <f>IF($B52="",CHAR(111),IF(Eingabe!$L$108="Ausgabe freie Lüftung und Ausgabe vg R-LG",CHAR(254),CHAR(111)))</f>
        <v>o</v>
      </c>
      <c r="R52" s="503"/>
      <c r="S52" s="504"/>
    </row>
    <row r="53" spans="1:19" s="5" customFormat="1" x14ac:dyDescent="0.2">
      <c r="A53" s="212" t="s">
        <v>386</v>
      </c>
      <c r="B53" s="28" t="str">
        <f>IF(B52="","",Eingabe!Q96)</f>
        <v/>
      </c>
      <c r="C53" s="28" t="s">
        <v>25</v>
      </c>
      <c r="D53" s="100" t="s">
        <v>345</v>
      </c>
      <c r="E53" s="213" t="s">
        <v>389</v>
      </c>
      <c r="F53" s="92"/>
      <c r="G53" s="93" t="str">
        <f>IF(G52="o","-",IF(Eingabe!$X$67="Querlüftung (FS)",2*Eingabe!$Y$86/(Eingabe!$Y$101+Eingabe!$Y$84)*$N$19,IF(Eingabe!$X$67="Querlüftung",2*Eingabe!$Y$86/(Eingabe!$Y$101+Eingabe!$Y$84)*$N$25,IF(Eingabe!$X$67="Schachtlüftung",Eingabe!$Y$86/Eingabe!$Y$101*$N$25,"Fehler"))))</f>
        <v>-</v>
      </c>
      <c r="H53" s="92"/>
      <c r="I53" s="93" t="str">
        <f>IF(I52="o","-",IF(Eingabe!$X$67="Querlüftung (FS)",2*Eingabe!$Y$91/(Eingabe!$Y$101+Eingabe!$Y$84)*$N$21,IF(Eingabe!$X$67="Querlüftung",2*Eingabe!$Y$91/(Eingabe!$Y$101+Eingabe!$Y$84)*$N$27,IF(Eingabe!$X$67="Schachtlüftung",Eingabe!$Y$91/Eingabe!$Y$101*$N$27,"Fehler"))))</f>
        <v>-</v>
      </c>
      <c r="J53" s="73"/>
      <c r="K53" s="93" t="s">
        <v>37</v>
      </c>
      <c r="L53" s="499" t="s">
        <v>37</v>
      </c>
      <c r="M53" s="500"/>
      <c r="N53" s="93" t="s">
        <v>37</v>
      </c>
      <c r="O53" s="93" t="s">
        <v>37</v>
      </c>
      <c r="P53" s="73"/>
      <c r="Q53" s="93" t="str">
        <f>IF(Q52="o","-",IF(ISNUMBER(Eingabe!AM96),Eingabe!AM96,"-"))</f>
        <v>-</v>
      </c>
      <c r="R53" s="509"/>
      <c r="S53" s="510"/>
    </row>
    <row r="54" spans="1:19" s="5" customFormat="1" ht="22.5" x14ac:dyDescent="0.2">
      <c r="A54" s="97" t="s">
        <v>387</v>
      </c>
      <c r="B54" s="492" t="str">
        <f>IF(Eingabe!$L$108="Ausgabe freie Lüftung und Ausgabe vg R-LG",IF(AND(ISTEXT(Eingabe!$N97),Eingabe!L97="ja"),Eingabe!$I97,""),"")</f>
        <v/>
      </c>
      <c r="C54" s="493"/>
      <c r="D54" s="493"/>
      <c r="E54" s="494"/>
      <c r="F54" s="99"/>
      <c r="G54" s="102" t="str">
        <f t="shared" ref="G54" si="6">CHAR(111)</f>
        <v>o</v>
      </c>
      <c r="H54" s="4"/>
      <c r="I54" s="102" t="str">
        <f>IF($B54="",CHAR(111),IF(Eingabe!$N$63="freie Lüftung",CHAR(254),CHAR(111)))</f>
        <v>o</v>
      </c>
      <c r="J54" s="4"/>
      <c r="K54" s="102" t="str">
        <f>CHAR(111)</f>
        <v>o</v>
      </c>
      <c r="L54" s="495" t="str">
        <f>CHAR(111)</f>
        <v>o</v>
      </c>
      <c r="M54" s="496"/>
      <c r="N54" s="102" t="str">
        <f>CHAR(111)</f>
        <v>o</v>
      </c>
      <c r="O54" s="102" t="str">
        <f>CHAR(111)</f>
        <v>o</v>
      </c>
      <c r="P54" s="4"/>
      <c r="Q54" s="102" t="str">
        <f>IF($B54="",CHAR(111),IF(Eingabe!$L$108="Ausgabe freie Lüftung und Ausgabe vg R-LG",CHAR(254),CHAR(111)))</f>
        <v>o</v>
      </c>
      <c r="R54" s="503"/>
      <c r="S54" s="504"/>
    </row>
    <row r="55" spans="1:19" s="5" customFormat="1" x14ac:dyDescent="0.2">
      <c r="A55" s="212" t="s">
        <v>386</v>
      </c>
      <c r="B55" s="28" t="str">
        <f>IF(B54="","",Eingabe!Q97)</f>
        <v/>
      </c>
      <c r="C55" s="28" t="s">
        <v>25</v>
      </c>
      <c r="D55" s="100" t="s">
        <v>345</v>
      </c>
      <c r="E55" s="213" t="s">
        <v>389</v>
      </c>
      <c r="F55" s="92"/>
      <c r="G55" s="93" t="str">
        <f>IF(G54="o","-",IF(Eingabe!$X$67="Querlüftung (FS)",2*Eingabe!$Y$86/(Eingabe!$Y$101+Eingabe!$Y$84)*$N$19,IF(Eingabe!$X$67="Querlüftung",2*Eingabe!$Y$86/(Eingabe!$Y$101+Eingabe!$Y$84)*$N$25,IF(Eingabe!$X$67="Schachtlüftung",Eingabe!$Y$86/Eingabe!$Y$101*$N$25,"Fehler"))))</f>
        <v>-</v>
      </c>
      <c r="H55" s="92"/>
      <c r="I55" s="93" t="str">
        <f>IF(I54="o","-",IF(Eingabe!$X$67="Querlüftung (FS)",2*Eingabe!$Y$92/(Eingabe!$Y$101+Eingabe!$Y$84)*$N$21,IF(Eingabe!$X$67="Querlüftung",2*Eingabe!$Y$92/(Eingabe!$Y$101+Eingabe!$Y$84)*$N$27,IF(Eingabe!$X$67="Schachtlüftung",Eingabe!$Y$92/Eingabe!$Y$101*$N$27,"Fehler"))))</f>
        <v>-</v>
      </c>
      <c r="J55" s="73"/>
      <c r="K55" s="93" t="s">
        <v>37</v>
      </c>
      <c r="L55" s="499" t="s">
        <v>37</v>
      </c>
      <c r="M55" s="500"/>
      <c r="N55" s="93" t="s">
        <v>37</v>
      </c>
      <c r="O55" s="93" t="s">
        <v>37</v>
      </c>
      <c r="P55" s="73"/>
      <c r="Q55" s="93" t="str">
        <f>IF(Q54="o","-",IF(ISNUMBER(Eingabe!AM97),Eingabe!AM97,"-"))</f>
        <v>-</v>
      </c>
      <c r="R55" s="509"/>
      <c r="S55" s="510"/>
    </row>
    <row r="56" spans="1:19" s="5" customFormat="1" ht="22.5" x14ac:dyDescent="0.2">
      <c r="A56" s="97" t="s">
        <v>387</v>
      </c>
      <c r="B56" s="492" t="str">
        <f>IF(Eingabe!$L$108="Ausgabe freie Lüftung und Ausgabe vg R-LG",IF(AND(ISTEXT(Eingabe!$N98),Eingabe!L98="ja"),Eingabe!$I98,""),"")</f>
        <v/>
      </c>
      <c r="C56" s="493"/>
      <c r="D56" s="493"/>
      <c r="E56" s="494"/>
      <c r="F56" s="99"/>
      <c r="G56" s="102" t="str">
        <f t="shared" ref="G56" si="7">CHAR(111)</f>
        <v>o</v>
      </c>
      <c r="H56" s="4"/>
      <c r="I56" s="102" t="str">
        <f>IF($B56="",CHAR(111),IF(Eingabe!$N$63="freie Lüftung",CHAR(254),CHAR(111)))</f>
        <v>o</v>
      </c>
      <c r="J56" s="4"/>
      <c r="K56" s="102" t="str">
        <f>CHAR(111)</f>
        <v>o</v>
      </c>
      <c r="L56" s="495" t="str">
        <f>CHAR(111)</f>
        <v>o</v>
      </c>
      <c r="M56" s="496"/>
      <c r="N56" s="102" t="str">
        <f>CHAR(111)</f>
        <v>o</v>
      </c>
      <c r="O56" s="102" t="str">
        <f>CHAR(111)</f>
        <v>o</v>
      </c>
      <c r="P56" s="4"/>
      <c r="Q56" s="102" t="str">
        <f>IF($B56="",CHAR(111),IF(Eingabe!$L$108="Ausgabe freie Lüftung und Ausgabe vg R-LG",CHAR(254),CHAR(111)))</f>
        <v>o</v>
      </c>
      <c r="R56" s="503"/>
      <c r="S56" s="504"/>
    </row>
    <row r="57" spans="1:19" s="5" customFormat="1" x14ac:dyDescent="0.2">
      <c r="A57" s="212" t="s">
        <v>386</v>
      </c>
      <c r="B57" s="28" t="str">
        <f>IF(B56="","",Eingabe!Q98)</f>
        <v/>
      </c>
      <c r="C57" s="28" t="s">
        <v>25</v>
      </c>
      <c r="D57" s="100" t="s">
        <v>345</v>
      </c>
      <c r="E57" s="213" t="s">
        <v>389</v>
      </c>
      <c r="F57" s="92"/>
      <c r="G57" s="93" t="str">
        <f>IF(G56="o","-",IF(Eingabe!$X$67="Querlüftung (FS)",2*Eingabe!$Y$86/(Eingabe!$Y$101+Eingabe!$Y$84)*$N$19,IF(Eingabe!$X$67="Querlüftung",2*Eingabe!$Y$86/(Eingabe!$Y$101+Eingabe!$Y$84)*$N$25,IF(Eingabe!$X$67="Schachtlüftung",Eingabe!$Y$86/Eingabe!$Y$101*$N$25,"Fehler"))))</f>
        <v>-</v>
      </c>
      <c r="H57" s="92"/>
      <c r="I57" s="93" t="str">
        <f>IF(I56="o","-",IF(Eingabe!$X$67="Querlüftung (FS)",2*Eingabe!$Y$93/(Eingabe!$Y$101+Eingabe!$Y$84)*$N$21,IF(Eingabe!$X$67="Querlüftung",2*Eingabe!$Y$93/(Eingabe!$Y$101+Eingabe!$Y$84)*$N$27,IF(Eingabe!$X$67="Schachtlüftung",Eingabe!$Y$93/Eingabe!$Y$101*$N$27,"Fehler"))))</f>
        <v>-</v>
      </c>
      <c r="J57" s="73"/>
      <c r="K57" s="93" t="s">
        <v>37</v>
      </c>
      <c r="L57" s="499" t="s">
        <v>37</v>
      </c>
      <c r="M57" s="500"/>
      <c r="N57" s="93" t="s">
        <v>37</v>
      </c>
      <c r="O57" s="93" t="s">
        <v>37</v>
      </c>
      <c r="P57" s="73"/>
      <c r="Q57" s="93" t="str">
        <f>IF(Q56="o","-",IF(ISNUMBER(Eingabe!AM98),Eingabe!AM98,"-"))</f>
        <v>-</v>
      </c>
      <c r="R57" s="509"/>
      <c r="S57" s="510"/>
    </row>
    <row r="58" spans="1:19" s="5" customFormat="1" ht="22.5" x14ac:dyDescent="0.2">
      <c r="A58" s="97" t="s">
        <v>387</v>
      </c>
      <c r="B58" s="492" t="str">
        <f>IF(Eingabe!$L$108="Ausgabe freie Lüftung und Ausgabe vg R-LG",IF(AND(ISTEXT(Eingabe!$N99),Eingabe!L99="ja"),Eingabe!$I99,""),"")</f>
        <v/>
      </c>
      <c r="C58" s="493"/>
      <c r="D58" s="493"/>
      <c r="E58" s="494"/>
      <c r="F58" s="99"/>
      <c r="G58" s="102" t="str">
        <f t="shared" ref="G58" si="8">CHAR(111)</f>
        <v>o</v>
      </c>
      <c r="H58" s="4"/>
      <c r="I58" s="102" t="str">
        <f>IF($B58="",CHAR(111),IF(Eingabe!$N$63="freie Lüftung",CHAR(254),CHAR(111)))</f>
        <v>o</v>
      </c>
      <c r="J58" s="4"/>
      <c r="K58" s="102" t="str">
        <f>CHAR(111)</f>
        <v>o</v>
      </c>
      <c r="L58" s="495" t="str">
        <f>CHAR(111)</f>
        <v>o</v>
      </c>
      <c r="M58" s="496"/>
      <c r="N58" s="102" t="str">
        <f>CHAR(111)</f>
        <v>o</v>
      </c>
      <c r="O58" s="102" t="str">
        <f>CHAR(111)</f>
        <v>o</v>
      </c>
      <c r="P58" s="4"/>
      <c r="Q58" s="102" t="str">
        <f>IF($B58="",CHAR(111),IF(Eingabe!$L$108="Ausgabe freie Lüftung und Ausgabe vg R-LG",CHAR(254),CHAR(111)))</f>
        <v>o</v>
      </c>
      <c r="R58" s="503"/>
      <c r="S58" s="504"/>
    </row>
    <row r="59" spans="1:19" s="5" customFormat="1" x14ac:dyDescent="0.2">
      <c r="A59" s="212" t="s">
        <v>386</v>
      </c>
      <c r="B59" s="28" t="str">
        <f>IF(B58="","",Eingabe!Q99)</f>
        <v/>
      </c>
      <c r="C59" s="28" t="s">
        <v>25</v>
      </c>
      <c r="D59" s="100" t="s">
        <v>345</v>
      </c>
      <c r="E59" s="213" t="s">
        <v>389</v>
      </c>
      <c r="F59" s="92"/>
      <c r="G59" s="93" t="str">
        <f>IF(G58="o","-",IF(Eingabe!$X$67="Querlüftung (FS)",2*Eingabe!$Y$86/(Eingabe!$Y$101+Eingabe!$Y$84)*$N$19,IF(Eingabe!$X$67="Querlüftung",2*Eingabe!$Y$86/(Eingabe!$Y$101+Eingabe!$Y$84)*$N$25,IF(Eingabe!$X$67="Schachtlüftung",Eingabe!$Y$86/Eingabe!$Y$101*$N$25,"Fehler"))))</f>
        <v>-</v>
      </c>
      <c r="H59" s="92"/>
      <c r="I59" s="93" t="str">
        <f>IF(I58="o","-",IF(Eingabe!$X$67="Querlüftung (FS)",2*Eingabe!$Y$94/(Eingabe!$Y$101+Eingabe!$Y$84)*$N$21,IF(Eingabe!$X$67="Querlüftung",2*Eingabe!$Y$94/(Eingabe!$Y$101+Eingabe!$Y$84)*$N$27,IF(Eingabe!$X$67="Schachtlüftung",Eingabe!$Y$94/Eingabe!$Y$101*$N$27,"Fehler"))))</f>
        <v>-</v>
      </c>
      <c r="J59" s="73"/>
      <c r="K59" s="93" t="s">
        <v>37</v>
      </c>
      <c r="L59" s="499" t="s">
        <v>37</v>
      </c>
      <c r="M59" s="500"/>
      <c r="N59" s="93" t="s">
        <v>37</v>
      </c>
      <c r="O59" s="93" t="s">
        <v>37</v>
      </c>
      <c r="P59" s="73"/>
      <c r="Q59" s="93" t="str">
        <f>IF(Q58="o","-",IF(ISNUMBER(Eingabe!AM99),Eingabe!AM99,"-"))</f>
        <v>-</v>
      </c>
      <c r="R59" s="509"/>
      <c r="S59" s="510"/>
    </row>
    <row r="60" spans="1:19" s="5" customFormat="1" ht="22.5" x14ac:dyDescent="0.2">
      <c r="A60" s="97" t="s">
        <v>387</v>
      </c>
      <c r="B60" s="492" t="str">
        <f>IF(Eingabe!$L$108="Ausgabe freie Lüftung und Ausgabe vg R-LG",IF(AND(ISTEXT(Eingabe!$N100),Eingabe!L100="ja"),Eingabe!$I100,""),"")</f>
        <v/>
      </c>
      <c r="C60" s="493"/>
      <c r="D60" s="493"/>
      <c r="E60" s="494"/>
      <c r="F60" s="99"/>
      <c r="G60" s="102" t="str">
        <f t="shared" ref="G60" si="9">CHAR(111)</f>
        <v>o</v>
      </c>
      <c r="H60" s="4"/>
      <c r="I60" s="102" t="str">
        <f>IF($B60="",CHAR(111),IF(Eingabe!$N$63="freie Lüftung",CHAR(254),CHAR(111)))</f>
        <v>o</v>
      </c>
      <c r="J60" s="4"/>
      <c r="K60" s="102" t="str">
        <f>CHAR(111)</f>
        <v>o</v>
      </c>
      <c r="L60" s="495" t="str">
        <f>CHAR(111)</f>
        <v>o</v>
      </c>
      <c r="M60" s="496"/>
      <c r="N60" s="102" t="str">
        <f>CHAR(111)</f>
        <v>o</v>
      </c>
      <c r="O60" s="102" t="str">
        <f>CHAR(111)</f>
        <v>o</v>
      </c>
      <c r="P60" s="4"/>
      <c r="Q60" s="102" t="str">
        <f>IF($B60="",CHAR(111),IF(Eingabe!$L$108="Ausgabe freie Lüftung und Ausgabe vg R-LG",CHAR(254),CHAR(111)))</f>
        <v>o</v>
      </c>
      <c r="R60" s="503"/>
      <c r="S60" s="504"/>
    </row>
    <row r="61" spans="1:19" s="5" customFormat="1" x14ac:dyDescent="0.2">
      <c r="A61" s="212" t="s">
        <v>386</v>
      </c>
      <c r="B61" s="28" t="str">
        <f>IF(B60="","",Eingabe!Q100)</f>
        <v/>
      </c>
      <c r="C61" s="28" t="s">
        <v>25</v>
      </c>
      <c r="D61" s="100" t="s">
        <v>345</v>
      </c>
      <c r="E61" s="213" t="s">
        <v>389</v>
      </c>
      <c r="F61" s="92"/>
      <c r="G61" s="93" t="str">
        <f>IF(G60="o","-",IF(Eingabe!$X$67="Querlüftung (FS)",2*Eingabe!$Y$86/(Eingabe!$Y$101+Eingabe!$Y$84)*$N$19,IF(Eingabe!$X$67="Querlüftung",2*Eingabe!$Y$86/(Eingabe!$Y$101+Eingabe!$Y$84)*$N$25,IF(Eingabe!$X$67="Schachtlüftung",Eingabe!$Y$86/Eingabe!$Y$101*$N$25,"Fehler"))))</f>
        <v>-</v>
      </c>
      <c r="H61" s="92"/>
      <c r="I61" s="93" t="str">
        <f>IF(I60="o","-",IF(Eingabe!$X$67="Querlüftung (FS)",2*Eingabe!$Y$95/(Eingabe!$Y$101+Eingabe!$Y$84)*$N$21,IF(Eingabe!$X$67="Querlüftung",2*Eingabe!$Y$95/(Eingabe!$Y$101+Eingabe!$Y$84)*$N$27,IF(Eingabe!$X$67="Schachtlüftung",Eingabe!$Y$95/Eingabe!$Y$101*$N$27,"Fehler"))))</f>
        <v>-</v>
      </c>
      <c r="J61" s="73"/>
      <c r="K61" s="93" t="s">
        <v>37</v>
      </c>
      <c r="L61" s="499" t="s">
        <v>37</v>
      </c>
      <c r="M61" s="500"/>
      <c r="N61" s="93" t="s">
        <v>37</v>
      </c>
      <c r="O61" s="93" t="s">
        <v>37</v>
      </c>
      <c r="P61" s="73"/>
      <c r="Q61" s="93" t="str">
        <f>IF(Q60="o","-",IF(ISNUMBER(Eingabe!AM100),Eingabe!AM100,"-"))</f>
        <v>-</v>
      </c>
      <c r="R61" s="509"/>
      <c r="S61" s="510"/>
    </row>
    <row r="62" spans="1:19" s="5" customFormat="1" ht="22.5" x14ac:dyDescent="0.2">
      <c r="A62" s="97" t="s">
        <v>387</v>
      </c>
      <c r="B62" s="492" t="str">
        <f>IF(Eingabe!$L$108="Ausgabe freie Lüftung und Ausgabe vg R-LG",IF(AND(ISTEXT(Eingabe!$N101),Eingabe!L101="ja"),Eingabe!$I101,""),"")</f>
        <v/>
      </c>
      <c r="C62" s="493"/>
      <c r="D62" s="493"/>
      <c r="E62" s="494"/>
      <c r="F62" s="99"/>
      <c r="G62" s="102" t="str">
        <f t="shared" ref="G62" si="10">CHAR(111)</f>
        <v>o</v>
      </c>
      <c r="H62" s="4"/>
      <c r="I62" s="102" t="str">
        <f>IF($B62="",CHAR(111),IF(Eingabe!$N$63="freie Lüftung",CHAR(254),CHAR(111)))</f>
        <v>o</v>
      </c>
      <c r="J62" s="4"/>
      <c r="K62" s="102" t="str">
        <f>CHAR(111)</f>
        <v>o</v>
      </c>
      <c r="L62" s="495" t="str">
        <f>CHAR(111)</f>
        <v>o</v>
      </c>
      <c r="M62" s="496"/>
      <c r="N62" s="102" t="str">
        <f>CHAR(111)</f>
        <v>o</v>
      </c>
      <c r="O62" s="102" t="str">
        <f>CHAR(111)</f>
        <v>o</v>
      </c>
      <c r="P62" s="4"/>
      <c r="Q62" s="102" t="str">
        <f>IF($B62="",CHAR(111),IF(Eingabe!$L$108="Ausgabe freie Lüftung und Ausgabe vg R-LG",CHAR(254),CHAR(111)))</f>
        <v>o</v>
      </c>
      <c r="R62" s="503"/>
      <c r="S62" s="504"/>
    </row>
    <row r="63" spans="1:19" s="5" customFormat="1" x14ac:dyDescent="0.2">
      <c r="A63" s="212" t="s">
        <v>386</v>
      </c>
      <c r="B63" s="28" t="str">
        <f>IF(B62="","",Eingabe!Q101)</f>
        <v/>
      </c>
      <c r="C63" s="28" t="s">
        <v>25</v>
      </c>
      <c r="D63" s="100" t="s">
        <v>345</v>
      </c>
      <c r="E63" s="213" t="s">
        <v>389</v>
      </c>
      <c r="F63" s="92"/>
      <c r="G63" s="93" t="str">
        <f>IF(G62="o","-",IF(Eingabe!$X$67="Querlüftung (FS)",2*Eingabe!$Y$86/(Eingabe!$Y$101+Eingabe!$Y$84)*$N$19,IF(Eingabe!$X$67="Querlüftung",2*Eingabe!$Y$86/(Eingabe!$Y$101+Eingabe!$Y$84)*$N$25,IF(Eingabe!$X$67="Schachtlüftung",Eingabe!$Y$86/Eingabe!$Y$101*$N$25,"Fehler"))))</f>
        <v>-</v>
      </c>
      <c r="H63" s="92"/>
      <c r="I63" s="93" t="str">
        <f>IF(I62="o","-",IF(Eingabe!$X$67="Querlüftung (FS)",2*Eingabe!$Y$96/(Eingabe!$Y$101+Eingabe!$Y$84)*$N$21,IF(Eingabe!$X$67="Querlüftung",2*Eingabe!$Y$96/(Eingabe!$Y$101+Eingabe!$Y$84)*$N$27,IF(Eingabe!$X$67="Schachtlüftung",Eingabe!$Y$96/Eingabe!$Y$101*$N$27,"Fehler"))))</f>
        <v>-</v>
      </c>
      <c r="J63" s="73"/>
      <c r="K63" s="93" t="s">
        <v>37</v>
      </c>
      <c r="L63" s="499" t="s">
        <v>37</v>
      </c>
      <c r="M63" s="500"/>
      <c r="N63" s="93" t="s">
        <v>37</v>
      </c>
      <c r="O63" s="93" t="s">
        <v>37</v>
      </c>
      <c r="P63" s="73"/>
      <c r="Q63" s="93" t="str">
        <f>IF(Q62="o","-",IF(ISNUMBER(Eingabe!AM101),Eingabe!AM101,"-"))</f>
        <v>-</v>
      </c>
      <c r="R63" s="509"/>
      <c r="S63" s="510"/>
    </row>
    <row r="64" spans="1:19" s="5" customFormat="1" ht="22.5" x14ac:dyDescent="0.2">
      <c r="A64" s="97" t="s">
        <v>387</v>
      </c>
      <c r="B64" s="492" t="str">
        <f>IF(Eingabe!$L$108="Ausgabe freie Lüftung und Ausgabe vg R-LG",IF(AND(ISTEXT(Eingabe!$N102),Eingabe!L102="ja"),Eingabe!$I102,""),"")</f>
        <v/>
      </c>
      <c r="C64" s="493"/>
      <c r="D64" s="493"/>
      <c r="E64" s="494"/>
      <c r="F64" s="99"/>
      <c r="G64" s="102" t="str">
        <f t="shared" ref="G64" si="11">CHAR(111)</f>
        <v>o</v>
      </c>
      <c r="H64" s="4"/>
      <c r="I64" s="102" t="str">
        <f>IF($B64="",CHAR(111),IF(Eingabe!$N$63="freie Lüftung",CHAR(254),CHAR(111)))</f>
        <v>o</v>
      </c>
      <c r="J64" s="4"/>
      <c r="K64" s="102" t="str">
        <f>CHAR(111)</f>
        <v>o</v>
      </c>
      <c r="L64" s="495" t="str">
        <f>CHAR(111)</f>
        <v>o</v>
      </c>
      <c r="M64" s="496"/>
      <c r="N64" s="102" t="str">
        <f>CHAR(111)</f>
        <v>o</v>
      </c>
      <c r="O64" s="102" t="str">
        <f>CHAR(111)</f>
        <v>o</v>
      </c>
      <c r="P64" s="4"/>
      <c r="Q64" s="102" t="str">
        <f>IF($B64="",CHAR(111),IF(Eingabe!$L$108="Ausgabe freie Lüftung und Ausgabe vg R-LG",CHAR(254),CHAR(111)))</f>
        <v>o</v>
      </c>
      <c r="R64" s="503"/>
      <c r="S64" s="504"/>
    </row>
    <row r="65" spans="1:19" s="5" customFormat="1" x14ac:dyDescent="0.2">
      <c r="A65" s="212" t="s">
        <v>386</v>
      </c>
      <c r="B65" s="28" t="str">
        <f>IF(B64="","",Eingabe!Q102)</f>
        <v/>
      </c>
      <c r="C65" s="28" t="s">
        <v>25</v>
      </c>
      <c r="D65" s="100" t="s">
        <v>345</v>
      </c>
      <c r="E65" s="213" t="s">
        <v>389</v>
      </c>
      <c r="F65" s="92"/>
      <c r="G65" s="93" t="str">
        <f>IF(G64="o","-",IF(Eingabe!$X$67="Querlüftung (FS)",2*Eingabe!$Y$86/(Eingabe!$Y$101+Eingabe!$Y$84)*$N$19,IF(Eingabe!$X$67="Querlüftung",2*Eingabe!$Y$86/(Eingabe!$Y$101+Eingabe!$Y$84)*$N$25,IF(Eingabe!$X$67="Schachtlüftung",Eingabe!$Y$86/Eingabe!$Y$101*$N$25,"Fehler"))))</f>
        <v>-</v>
      </c>
      <c r="H65" s="92"/>
      <c r="I65" s="93" t="str">
        <f>IF(I64="o","-",IF(Eingabe!$X$67="Querlüftung (FS)",2*Eingabe!$Y$97/(Eingabe!$Y$101+Eingabe!$Y$84)*$N$21,IF(Eingabe!$X$67="Querlüftung",2*Eingabe!$Y$97/(Eingabe!$Y$101+Eingabe!$Y$84)*$N$27,IF(Eingabe!$X$67="Schachtlüftung",Eingabe!$Y$97/Eingabe!$Y$101*$N$27,"Fehler"))))</f>
        <v>-</v>
      </c>
      <c r="J65" s="73"/>
      <c r="K65" s="93" t="s">
        <v>37</v>
      </c>
      <c r="L65" s="499" t="s">
        <v>37</v>
      </c>
      <c r="M65" s="500"/>
      <c r="N65" s="93" t="s">
        <v>37</v>
      </c>
      <c r="O65" s="93" t="s">
        <v>37</v>
      </c>
      <c r="P65" s="73"/>
      <c r="Q65" s="93" t="str">
        <f>IF(Q64="o","-",IF(ISNUMBER(Eingabe!AM102),Eingabe!AM102,"-"))</f>
        <v>-</v>
      </c>
      <c r="R65" s="509"/>
      <c r="S65" s="510"/>
    </row>
    <row r="66" spans="1:19" s="5" customFormat="1" ht="22.5" x14ac:dyDescent="0.2">
      <c r="A66" s="97" t="s">
        <v>387</v>
      </c>
      <c r="B66" s="492" t="str">
        <f>IF(Eingabe!$L$108="Ausgabe freie Lüftung und Ausgabe vg R-LG",IF(AND(ISTEXT(Eingabe!$N103),Eingabe!L103="ja"),Eingabe!$I103,""),"")</f>
        <v/>
      </c>
      <c r="C66" s="493"/>
      <c r="D66" s="493"/>
      <c r="E66" s="494"/>
      <c r="F66" s="99"/>
      <c r="G66" s="102" t="str">
        <f t="shared" ref="G66" si="12">CHAR(111)</f>
        <v>o</v>
      </c>
      <c r="H66" s="4"/>
      <c r="I66" s="102" t="str">
        <f>IF($B66="",CHAR(111),IF(Eingabe!$N$63="freie Lüftung",CHAR(254),CHAR(111)))</f>
        <v>o</v>
      </c>
      <c r="J66" s="4"/>
      <c r="K66" s="102" t="str">
        <f>CHAR(111)</f>
        <v>o</v>
      </c>
      <c r="L66" s="495" t="str">
        <f>CHAR(111)</f>
        <v>o</v>
      </c>
      <c r="M66" s="496"/>
      <c r="N66" s="102" t="str">
        <f>CHAR(111)</f>
        <v>o</v>
      </c>
      <c r="O66" s="102" t="str">
        <f>CHAR(111)</f>
        <v>o</v>
      </c>
      <c r="P66" s="4"/>
      <c r="Q66" s="102" t="str">
        <f>IF($B66="",CHAR(111),IF(Eingabe!$L$108="Ausgabe freie Lüftung und Ausgabe vg R-LG",CHAR(254),CHAR(111)))</f>
        <v>o</v>
      </c>
      <c r="R66" s="503"/>
      <c r="S66" s="504"/>
    </row>
    <row r="67" spans="1:19" s="5" customFormat="1" x14ac:dyDescent="0.2">
      <c r="A67" s="212" t="s">
        <v>386</v>
      </c>
      <c r="B67" s="28" t="str">
        <f>IF(B66="","",Eingabe!Q103)</f>
        <v/>
      </c>
      <c r="C67" s="28" t="s">
        <v>25</v>
      </c>
      <c r="D67" s="100" t="s">
        <v>345</v>
      </c>
      <c r="E67" s="213" t="s">
        <v>389</v>
      </c>
      <c r="F67" s="92"/>
      <c r="G67" s="93" t="str">
        <f>IF(G66="o","-",IF(Eingabe!$X$67="Querlüftung (FS)",2*Eingabe!$Y$86/(Eingabe!$Y$101+Eingabe!$Y$84)*$N$19,IF(Eingabe!$X$67="Querlüftung",2*Eingabe!$Y$86/(Eingabe!$Y$101+Eingabe!$Y$84)*$N$25,IF(Eingabe!$X$67="Schachtlüftung",Eingabe!$Y$86/Eingabe!$Y$101*$N$25,"Fehler"))))</f>
        <v>-</v>
      </c>
      <c r="H67" s="92"/>
      <c r="I67" s="93" t="str">
        <f>IF(I66="o","-",IF(Eingabe!$X$67="Querlüftung (FS)",2*Eingabe!$Y$98/(Eingabe!$Y$101+Eingabe!$Y$84)*$N$21,IF(Eingabe!$X$67="Querlüftung",2*Eingabe!$Y$98/(Eingabe!$Y$101+Eingabe!$Y$84)*$N$27,IF(Eingabe!$X$67="Schachtlüftung",Eingabe!$Y$98/Eingabe!$Y$101*$N$27,"Fehler"))))</f>
        <v>-</v>
      </c>
      <c r="J67" s="73"/>
      <c r="K67" s="93" t="s">
        <v>37</v>
      </c>
      <c r="L67" s="499" t="s">
        <v>37</v>
      </c>
      <c r="M67" s="500"/>
      <c r="N67" s="93" t="s">
        <v>37</v>
      </c>
      <c r="O67" s="93" t="s">
        <v>37</v>
      </c>
      <c r="P67" s="73"/>
      <c r="Q67" s="104" t="str">
        <f>IF(Q66="o","-",IF(ISNUMBER(Eingabe!AM103),Eingabe!AM103,"-"))</f>
        <v>-</v>
      </c>
      <c r="R67" s="509"/>
      <c r="S67" s="510"/>
    </row>
    <row r="68" spans="1:19" s="5" customFormat="1" ht="22.5" x14ac:dyDescent="0.2">
      <c r="A68" s="97" t="s">
        <v>387</v>
      </c>
      <c r="B68" s="492" t="str">
        <f>IF(Eingabe!$L$108="Ausgabe freie Lüftung und Ausgabe vg R-LG",IF(AND(ISTEXT(Eingabe!$N104),Eingabe!L104="ja"),Eingabe!$I104,""),"")</f>
        <v/>
      </c>
      <c r="C68" s="493"/>
      <c r="D68" s="493"/>
      <c r="E68" s="494"/>
      <c r="F68" s="99"/>
      <c r="G68" s="102" t="str">
        <f t="shared" ref="G68" si="13">CHAR(111)</f>
        <v>o</v>
      </c>
      <c r="H68" s="4"/>
      <c r="I68" s="102" t="str">
        <f>IF($B68="",CHAR(111),IF(Eingabe!$N$63="freie Lüftung",CHAR(254),CHAR(111)))</f>
        <v>o</v>
      </c>
      <c r="J68" s="4"/>
      <c r="K68" s="102" t="str">
        <f>CHAR(111)</f>
        <v>o</v>
      </c>
      <c r="L68" s="495" t="str">
        <f>CHAR(111)</f>
        <v>o</v>
      </c>
      <c r="M68" s="496"/>
      <c r="N68" s="102" t="str">
        <f>CHAR(111)</f>
        <v>o</v>
      </c>
      <c r="O68" s="102" t="str">
        <f>CHAR(111)</f>
        <v>o</v>
      </c>
      <c r="P68" s="4"/>
      <c r="Q68" s="102" t="str">
        <f>IF($B68="",CHAR(111),IF(Eingabe!$L$108="Ausgabe freie Lüftung und Ausgabe vg R-LG",CHAR(254),CHAR(111)))</f>
        <v>o</v>
      </c>
      <c r="R68" s="503"/>
      <c r="S68" s="504"/>
    </row>
    <row r="69" spans="1:19" s="5" customFormat="1" x14ac:dyDescent="0.2">
      <c r="A69" s="212" t="s">
        <v>386</v>
      </c>
      <c r="B69" s="28" t="str">
        <f>IF(B68="","",Eingabe!Q104)</f>
        <v/>
      </c>
      <c r="C69" s="28" t="s">
        <v>25</v>
      </c>
      <c r="D69" s="100" t="s">
        <v>345</v>
      </c>
      <c r="E69" s="213" t="s">
        <v>389</v>
      </c>
      <c r="F69" s="92"/>
      <c r="G69" s="93" t="str">
        <f>IF(G68="o","-",IF(Eingabe!$X$67="Querlüftung (FS)",2*Eingabe!$Y$86/(Eingabe!$Y$101+Eingabe!$Y$84)*$N$19,IF(Eingabe!$X$67="Querlüftung",2*Eingabe!$Y$86/(Eingabe!$Y$101+Eingabe!$Y$84)*$N$25,IF(Eingabe!$X$67="Schachtlüftung",Eingabe!$Y$86/Eingabe!$Y$101*$N$25,"Fehler"))))</f>
        <v>-</v>
      </c>
      <c r="H69" s="92"/>
      <c r="I69" s="93" t="str">
        <f>IF(I68="o","-",IF(Eingabe!$X$67="Querlüftung (FS)",2*Eingabe!$Y$99/(Eingabe!$Y$101+Eingabe!$Y$84)*$N$21,IF(Eingabe!$X$67="Querlüftung",2*Eingabe!$Y$99/(Eingabe!$Y$101+Eingabe!$Y$84)*$N$27,IF(Eingabe!$X$67="Schachtlüftung",Eingabe!$Y$99/Eingabe!$Y$101*$N$27,"Fehler"))))</f>
        <v>-</v>
      </c>
      <c r="J69" s="73"/>
      <c r="K69" s="93" t="s">
        <v>37</v>
      </c>
      <c r="L69" s="499" t="s">
        <v>37</v>
      </c>
      <c r="M69" s="500"/>
      <c r="N69" s="93" t="s">
        <v>37</v>
      </c>
      <c r="O69" s="93" t="s">
        <v>37</v>
      </c>
      <c r="P69" s="73"/>
      <c r="Q69" s="104" t="str">
        <f>IF(Q68="o","-",IF(ISNUMBER(Eingabe!AM104),Eingabe!AM104,"-"))</f>
        <v>-</v>
      </c>
      <c r="R69" s="509"/>
      <c r="S69" s="510"/>
    </row>
    <row r="70" spans="1:19" s="5" customFormat="1" ht="22.5" x14ac:dyDescent="0.2">
      <c r="A70" s="97" t="s">
        <v>387</v>
      </c>
      <c r="B70" s="492" t="str">
        <f>IF(Eingabe!$L$108="Ausgabe freie Lüftung und Ausgabe vg R-LG",IF(AND(ISTEXT(Eingabe!$N105),Eingabe!L105="ja"),Eingabe!$I105,""),"")</f>
        <v/>
      </c>
      <c r="C70" s="493"/>
      <c r="D70" s="493"/>
      <c r="E70" s="494"/>
      <c r="F70" s="99"/>
      <c r="G70" s="102" t="str">
        <f t="shared" ref="G70" si="14">CHAR(111)</f>
        <v>o</v>
      </c>
      <c r="H70" s="4"/>
      <c r="I70" s="102" t="str">
        <f>IF($B70="",CHAR(111),IF(Eingabe!$N$63="freie Lüftung",CHAR(254),CHAR(111)))</f>
        <v>o</v>
      </c>
      <c r="J70" s="4"/>
      <c r="K70" s="102" t="str">
        <f>CHAR(111)</f>
        <v>o</v>
      </c>
      <c r="L70" s="495" t="str">
        <f>CHAR(111)</f>
        <v>o</v>
      </c>
      <c r="M70" s="496"/>
      <c r="N70" s="102" t="str">
        <f>CHAR(111)</f>
        <v>o</v>
      </c>
      <c r="O70" s="102" t="str">
        <f>CHAR(111)</f>
        <v>o</v>
      </c>
      <c r="P70" s="4"/>
      <c r="Q70" s="102" t="str">
        <f>IF($B70="",CHAR(111),IF(Eingabe!$L$108="Ausgabe freie Lüftung und Ausgabe vg R-LG",CHAR(254),CHAR(111)))</f>
        <v>o</v>
      </c>
      <c r="R70" s="503"/>
      <c r="S70" s="504"/>
    </row>
    <row r="71" spans="1:19" s="5" customFormat="1" x14ac:dyDescent="0.2">
      <c r="A71" s="214" t="s">
        <v>386</v>
      </c>
      <c r="B71" s="109" t="str">
        <f>IF(B70="","",Eingabe!Q105)</f>
        <v/>
      </c>
      <c r="C71" s="109" t="s">
        <v>25</v>
      </c>
      <c r="D71" s="91" t="s">
        <v>345</v>
      </c>
      <c r="E71" s="117" t="s">
        <v>389</v>
      </c>
      <c r="F71" s="111"/>
      <c r="G71" s="93" t="str">
        <f>IF(G70="o","-",IF(Eingabe!$X$67="Querlüftung (FS)",2*Eingabe!$Y$86/(Eingabe!$Y$101+Eingabe!$Y$84)*$N$19,IF(Eingabe!$X$67="Querlüftung",2*Eingabe!$Y$86/(Eingabe!$Y$101+Eingabe!$Y$84)*$N$25,IF(Eingabe!$X$67="Schachtlüftung",Eingabe!$Y$86/Eingabe!$Y$101*$N$25,"Fehler"))))</f>
        <v>-</v>
      </c>
      <c r="H71" s="111"/>
      <c r="I71" s="93" t="str">
        <f>IF(I70="o","-",IF(Eingabe!$X$67="Querlüftung (FS)",2*Eingabe!$Y$100/(Eingabe!$Y$101+Eingabe!$Y$84)*$N$21,IF(Eingabe!$X$67="Querlüftung",2*Eingabe!$Y$100/(Eingabe!$Y$101+Eingabe!$Y$84)*$N$27,IF(Eingabe!$X$67="Schachtlüftung",Eingabe!$Y$100/Eingabe!$Y$101*$N$27,"Fehler"))))</f>
        <v>-</v>
      </c>
      <c r="J71" s="113"/>
      <c r="K71" s="112" t="s">
        <v>37</v>
      </c>
      <c r="L71" s="514" t="s">
        <v>37</v>
      </c>
      <c r="M71" s="515"/>
      <c r="N71" s="112" t="s">
        <v>37</v>
      </c>
      <c r="O71" s="112" t="s">
        <v>37</v>
      </c>
      <c r="P71" s="113"/>
      <c r="Q71" s="104" t="str">
        <f>IF(Q70="o","-",IF(ISNUMBER(Eingabe!AM105),Eingabe!AM105,"-"))</f>
        <v>-</v>
      </c>
      <c r="R71" s="516"/>
      <c r="S71" s="517"/>
    </row>
    <row r="72" spans="1:19" s="5" customFormat="1" x14ac:dyDescent="0.2">
      <c r="A72" s="116"/>
      <c r="B72" s="17"/>
      <c r="C72" s="303" t="s">
        <v>390</v>
      </c>
      <c r="D72" s="115" t="s">
        <v>391</v>
      </c>
      <c r="E72" s="117" t="s">
        <v>389</v>
      </c>
      <c r="F72" s="17"/>
      <c r="G72" s="118" t="str">
        <f>IF($B42="","-",IF(G42="o","-",IF(G42="þ",SUM(G42:G71),0)))</f>
        <v>-</v>
      </c>
      <c r="H72" s="17"/>
      <c r="I72" s="118" t="str">
        <f>IF($B42="","-",IF(I42="o","-",IF(I42="þ",SUM(I42:I71),0)))</f>
        <v>-</v>
      </c>
      <c r="J72" s="17"/>
      <c r="K72" s="118" t="str">
        <f>IF($B42="","-",IF(K42="o","-",IF(K42="þ",SUM(K42:K71),0)))</f>
        <v>-</v>
      </c>
      <c r="L72" s="518" t="str">
        <f>IF($B42="","-",IF(L42="o","-",IF(L42="þ",SUM(L42:L71),0)))</f>
        <v>-</v>
      </c>
      <c r="M72" s="519"/>
      <c r="N72" s="118" t="str">
        <f>IF($B42="","-",IF(N42="o","-",IF(N42="þ",SUM(N42:N71),0)))</f>
        <v>-</v>
      </c>
      <c r="O72" s="118" t="str">
        <f>IF($B42="","-",IF(O42="o","-",IF(O42="þ",SUM(O42:O71),0)))</f>
        <v>-</v>
      </c>
      <c r="P72" s="17"/>
      <c r="Q72" s="119">
        <f>SUM(Q42:Q71)</f>
        <v>0</v>
      </c>
      <c r="R72" s="520"/>
      <c r="S72" s="379"/>
    </row>
    <row r="73" spans="1:19" s="5" customFormat="1" x14ac:dyDescent="0.2">
      <c r="A73" s="33"/>
      <c r="B73" s="4"/>
      <c r="C73" s="304"/>
      <c r="D73" s="266"/>
      <c r="E73" s="267"/>
      <c r="F73" s="4"/>
      <c r="G73" s="268"/>
      <c r="H73" s="4"/>
      <c r="I73" s="268"/>
      <c r="J73" s="4"/>
      <c r="K73" s="268"/>
      <c r="L73" s="268"/>
      <c r="M73" s="268"/>
      <c r="N73" s="268"/>
      <c r="O73" s="268"/>
      <c r="P73" s="4"/>
      <c r="Q73" s="4"/>
      <c r="R73" s="74"/>
      <c r="S73" s="74"/>
    </row>
    <row r="74" spans="1:19" s="5" customFormat="1" ht="20.25" x14ac:dyDescent="0.3">
      <c r="A74" s="264" t="s">
        <v>488</v>
      </c>
      <c r="B74" s="54"/>
      <c r="C74" s="54"/>
      <c r="D74" s="54"/>
      <c r="E74" s="54"/>
      <c r="F74" s="54"/>
      <c r="G74" s="54"/>
      <c r="H74" s="54"/>
      <c r="I74" s="327"/>
      <c r="J74" s="17"/>
      <c r="K74" s="328"/>
      <c r="L74" s="328"/>
      <c r="M74" s="268"/>
      <c r="N74" s="268"/>
      <c r="O74" s="268"/>
      <c r="P74" s="4"/>
      <c r="Q74" s="4"/>
      <c r="R74" s="74"/>
      <c r="S74" s="74"/>
    </row>
    <row r="76" spans="1:19" ht="18" x14ac:dyDescent="0.2">
      <c r="A76" s="36"/>
      <c r="B76" s="11"/>
      <c r="C76" s="11"/>
      <c r="D76" s="484" t="s">
        <v>379</v>
      </c>
      <c r="E76" s="485"/>
      <c r="F76" s="485"/>
      <c r="G76" s="485"/>
      <c r="H76" s="485"/>
      <c r="I76" s="485"/>
      <c r="J76" s="485"/>
      <c r="K76" s="485"/>
      <c r="L76" s="486"/>
      <c r="M76" s="11"/>
      <c r="N76" s="487" t="str">
        <f>IF(Eingabe!$L$108="Ausgabe freie Lüftung und Ausgabe vg R-LG","Zu-/Abluftsystem",IF(Eingabe!$L$108="Ausgabe vg Lüftung","siehe Ausgabe vg Lüftung!","siehe Ausgabe freie Lüftung"))</f>
        <v>siehe Ausgabe freie Lüftung</v>
      </c>
      <c r="O76" s="488"/>
      <c r="P76" s="488"/>
      <c r="Q76" s="488"/>
      <c r="R76" s="488"/>
      <c r="S76" s="489"/>
    </row>
    <row r="77" spans="1:19" x14ac:dyDescent="0.2">
      <c r="A77" s="51"/>
      <c r="B77" s="50"/>
      <c r="C77" s="50"/>
      <c r="D77" s="50"/>
      <c r="E77" s="50"/>
      <c r="F77" s="50"/>
      <c r="G77" s="50"/>
      <c r="H77" s="50"/>
      <c r="I77" s="50"/>
      <c r="J77" s="50"/>
      <c r="K77" s="50"/>
      <c r="L77" s="50"/>
      <c r="M77" s="50"/>
      <c r="N77" s="50"/>
      <c r="O77" s="50"/>
      <c r="P77" s="50"/>
      <c r="Q77" s="50"/>
      <c r="R77" s="50"/>
      <c r="S77" s="52"/>
    </row>
    <row r="78" spans="1:19" x14ac:dyDescent="0.2">
      <c r="A78" s="44" t="s">
        <v>392</v>
      </c>
      <c r="B78" s="55"/>
      <c r="C78" s="55"/>
      <c r="D78" s="11"/>
      <c r="E78" s="11"/>
      <c r="F78" s="11"/>
      <c r="G78" s="105" t="s">
        <v>366</v>
      </c>
      <c r="H78" s="106"/>
      <c r="I78" s="105" t="s">
        <v>367</v>
      </c>
      <c r="J78" s="106"/>
      <c r="K78" s="105" t="s">
        <v>383</v>
      </c>
      <c r="L78" s="505" t="s">
        <v>385</v>
      </c>
      <c r="M78" s="506"/>
      <c r="N78" s="107" t="s">
        <v>384</v>
      </c>
      <c r="O78" s="107" t="s">
        <v>368</v>
      </c>
      <c r="P78" s="106"/>
      <c r="Q78" s="105" t="s">
        <v>369</v>
      </c>
      <c r="R78" s="507"/>
      <c r="S78" s="508"/>
    </row>
    <row r="79" spans="1:19" ht="22.5" x14ac:dyDescent="0.2">
      <c r="A79" s="97" t="s">
        <v>387</v>
      </c>
      <c r="B79" s="492" t="str">
        <f>IF(Eingabe!$L$108="Ausgabe freie Lüftung und Ausgabe vg R-LG",IF(AND(ISTEXT(Eingabe!$N74),Eingabe!L74="ja"),Eingabe!$I74,""),"")</f>
        <v/>
      </c>
      <c r="C79" s="493"/>
      <c r="D79" s="493"/>
      <c r="E79" s="494"/>
      <c r="F79" s="99"/>
      <c r="G79" s="102" t="str">
        <f>CHAR(111)</f>
        <v>o</v>
      </c>
      <c r="H79" s="4"/>
      <c r="I79" s="102" t="str">
        <f>CHAR(111)</f>
        <v>o</v>
      </c>
      <c r="J79" s="4"/>
      <c r="K79" s="102" t="str">
        <f>CHAR(111)</f>
        <v>o</v>
      </c>
      <c r="L79" s="495" t="str">
        <f>CHAR(111)</f>
        <v>o</v>
      </c>
      <c r="M79" s="496"/>
      <c r="N79" s="102" t="str">
        <f>CHAR(111)</f>
        <v>o</v>
      </c>
      <c r="O79" s="102" t="str">
        <f>CHAR(111)</f>
        <v>o</v>
      </c>
      <c r="P79" s="4"/>
      <c r="Q79" s="102" t="str">
        <f>IF($B79="",CHAR(111),IF(Eingabe!$L$108="Ausgabe freie Lüftung und Ausgabe vg R-LG",CHAR(254),CHAR(111)))</f>
        <v>o</v>
      </c>
      <c r="R79" s="497"/>
      <c r="S79" s="498"/>
    </row>
    <row r="80" spans="1:19" s="5" customFormat="1" x14ac:dyDescent="0.2">
      <c r="A80" s="212" t="s">
        <v>386</v>
      </c>
      <c r="B80" s="28" t="str">
        <f>IF(B79="","",Eingabe!Q74)</f>
        <v/>
      </c>
      <c r="C80" s="28" t="s">
        <v>25</v>
      </c>
      <c r="D80" s="100" t="s">
        <v>345</v>
      </c>
      <c r="E80" s="213" t="s">
        <v>389</v>
      </c>
      <c r="F80" s="92"/>
      <c r="G80" s="93" t="str">
        <f>IF(G79="o","-",IF(Eingabe!$X$67="Querlüftung (FS)",2*Eingabe!$Y$69/(Eingabe!$Y$101+Eingabe!$Y$84)*$N$19,IF(Eingabe!$X$67="Querlüftung",2*Eingabe!$Y$69/(Eingabe!$Y$101+Eingabe!$Y$84)*$N$25,"-")))</f>
        <v>-</v>
      </c>
      <c r="H80" s="92"/>
      <c r="I80" s="93" t="str">
        <f>IF(I79="o","-",IF(Eingabe!$X$67="Querlüftung (FS)",2*Eingabe!$Y$69/(Eingabe!$Y$101+Eingabe!$Y$84)*$N$21,IF(Eingabe!$X$67="Querlüftung",2*Eingabe!$Y$69/(Eingabe!$Y$101+Eingabe!$Y$84)*$N$27,IF(Eingabe!$X$67="Schachtlüftung",Eingabe!$Y$69/Eingabe!$Y$84*$N$27,"Fehler"))))</f>
        <v>-</v>
      </c>
      <c r="J80" s="73"/>
      <c r="K80" s="93" t="str">
        <f>IF(K79="o","-",IF(Eingabe!$X$67="Schachtlüftung",Eingabe!$Y$69/Eingabe!$Y$84*$N$29,"-"))</f>
        <v>-</v>
      </c>
      <c r="L80" s="499" t="s">
        <v>37</v>
      </c>
      <c r="M80" s="500"/>
      <c r="N80" s="93" t="s">
        <v>37</v>
      </c>
      <c r="O80" s="93" t="str">
        <f>IF(O79="o","-",IF(Eingabe!$X$67="Schachtlüftung",Eingabe!$Y$69/Eingabe!$Y$84*$N$29,"-"))</f>
        <v>-</v>
      </c>
      <c r="P80" s="73"/>
      <c r="Q80" s="104" t="str">
        <f>IF(Q79="o","-",IF(ISNUMBER(Eingabe!AM75),Eingabe!AM75,"-"))</f>
        <v>-</v>
      </c>
      <c r="R80" s="501"/>
      <c r="S80" s="502"/>
    </row>
    <row r="81" spans="1:19" s="5" customFormat="1" ht="22.5" x14ac:dyDescent="0.2">
      <c r="A81" s="97" t="s">
        <v>387</v>
      </c>
      <c r="B81" s="492" t="str">
        <f>IF(Eingabe!$L$108="Ausgabe freie Lüftung und Ausgabe vg R-LG",IF(AND(ISTEXT(Eingabe!$N75),Eingabe!L75="ja"),Eingabe!$I75,""),"")</f>
        <v/>
      </c>
      <c r="C81" s="493"/>
      <c r="D81" s="493"/>
      <c r="E81" s="494"/>
      <c r="F81" s="99"/>
      <c r="G81" s="102" t="str">
        <f t="shared" ref="G81" si="15">CHAR(111)</f>
        <v>o</v>
      </c>
      <c r="H81" s="4"/>
      <c r="I81" s="102" t="str">
        <f t="shared" ref="I81" si="16">CHAR(111)</f>
        <v>o</v>
      </c>
      <c r="J81" s="4"/>
      <c r="K81" s="102" t="str">
        <f t="shared" ref="K81:L81" si="17">CHAR(111)</f>
        <v>o</v>
      </c>
      <c r="L81" s="495" t="str">
        <f t="shared" si="17"/>
        <v>o</v>
      </c>
      <c r="M81" s="496"/>
      <c r="N81" s="102" t="str">
        <f>CHAR(111)</f>
        <v>o</v>
      </c>
      <c r="O81" s="102" t="str">
        <f t="shared" ref="O81" si="18">CHAR(111)</f>
        <v>o</v>
      </c>
      <c r="P81" s="4"/>
      <c r="Q81" s="102" t="str">
        <f>IF($B81="",CHAR(111),IF(Eingabe!$L$108="Ausgabe freie Lüftung und Ausgabe vg R-LG",CHAR(254),CHAR(111)))</f>
        <v>o</v>
      </c>
      <c r="R81" s="497"/>
      <c r="S81" s="498"/>
    </row>
    <row r="82" spans="1:19" s="5" customFormat="1" x14ac:dyDescent="0.2">
      <c r="A82" s="212" t="s">
        <v>386</v>
      </c>
      <c r="B82" s="28" t="str">
        <f>IF(B81="","",Eingabe!Q75)</f>
        <v/>
      </c>
      <c r="C82" s="28" t="s">
        <v>25</v>
      </c>
      <c r="D82" s="100" t="s">
        <v>345</v>
      </c>
      <c r="E82" s="213" t="s">
        <v>389</v>
      </c>
      <c r="F82" s="92"/>
      <c r="G82" s="93" t="str">
        <f>IF(G81="o","-",IF(Eingabe!$X$67="Querlüftung (FS)",2*Eingabe!$Y$69/(Eingabe!$Y$101+Eingabe!$Y$84)*$N$19,IF(Eingabe!$X$67="Querlüftung",2*Eingabe!$Y$69/(Eingabe!$Y$101+Eingabe!$Y$84)*$N$25,"-")))</f>
        <v>-</v>
      </c>
      <c r="H82" s="92"/>
      <c r="I82" s="93" t="str">
        <f>IF(I81="o","-",IF(Eingabe!$X$67="Querlüftung (FS)",2*Eingabe!$Y$69/(Eingabe!$Y$101+Eingabe!$Y$84)*$N$21,IF(Eingabe!$X$67="Querlüftung",2*Eingabe!$Y$69/(Eingabe!$Y$101+Eingabe!$Y$84)*$N$27,IF(Eingabe!$X$67="Schachtlüftung",Eingabe!$Y$69/Eingabe!$Y$84*$N$27,"Fehler"))))</f>
        <v>-</v>
      </c>
      <c r="J82" s="73"/>
      <c r="K82" s="93" t="str">
        <f>IF(K81="o","-",IF(Eingabe!$X$67="Schachtlüftung",Eingabe!$Y$69/Eingabe!$Y$84*$N$29,"-"))</f>
        <v>-</v>
      </c>
      <c r="L82" s="499" t="s">
        <v>37</v>
      </c>
      <c r="M82" s="500"/>
      <c r="N82" s="93" t="s">
        <v>37</v>
      </c>
      <c r="O82" s="93" t="str">
        <f>IF(O81="o","-",IF(Eingabe!$X$67="Schachtlüftung",Eingabe!$Y$69/Eingabe!$Y$84*$N$29,"-"))</f>
        <v>-</v>
      </c>
      <c r="P82" s="73"/>
      <c r="Q82" s="104" t="str">
        <f>IF(Q81="o","-",IF(ISNUMBER(Eingabe!AM76),Eingabe!AM76,"-"))</f>
        <v>-</v>
      </c>
      <c r="R82" s="501"/>
      <c r="S82" s="502"/>
    </row>
    <row r="83" spans="1:19" s="5" customFormat="1" ht="22.5" x14ac:dyDescent="0.2">
      <c r="A83" s="97" t="s">
        <v>387</v>
      </c>
      <c r="B83" s="492" t="str">
        <f>IF(Eingabe!$L$108="Ausgabe freie Lüftung und Ausgabe vg R-LG",IF(AND(ISTEXT(Eingabe!$N76),Eingabe!L76="ja"),Eingabe!$I76,""),"")</f>
        <v/>
      </c>
      <c r="C83" s="493"/>
      <c r="D83" s="493"/>
      <c r="E83" s="494"/>
      <c r="F83" s="99"/>
      <c r="G83" s="102" t="str">
        <f t="shared" ref="G83" si="19">CHAR(111)</f>
        <v>o</v>
      </c>
      <c r="H83" s="4"/>
      <c r="I83" s="102" t="str">
        <f t="shared" ref="I83" si="20">CHAR(111)</f>
        <v>o</v>
      </c>
      <c r="J83" s="4"/>
      <c r="K83" s="102" t="str">
        <f t="shared" ref="K83:L83" si="21">CHAR(111)</f>
        <v>o</v>
      </c>
      <c r="L83" s="495" t="str">
        <f t="shared" si="21"/>
        <v>o</v>
      </c>
      <c r="M83" s="496"/>
      <c r="N83" s="102" t="str">
        <f>CHAR(111)</f>
        <v>o</v>
      </c>
      <c r="O83" s="102" t="str">
        <f t="shared" ref="O83" si="22">CHAR(111)</f>
        <v>o</v>
      </c>
      <c r="P83" s="4"/>
      <c r="Q83" s="102" t="str">
        <f>IF($B83="",CHAR(111),IF(Eingabe!$L$108="Ausgabe freie Lüftung und Ausgabe vg R-LG",CHAR(254),CHAR(111)))</f>
        <v>o</v>
      </c>
      <c r="R83" s="503"/>
      <c r="S83" s="504"/>
    </row>
    <row r="84" spans="1:19" s="5" customFormat="1" x14ac:dyDescent="0.2">
      <c r="A84" s="212" t="s">
        <v>386</v>
      </c>
      <c r="B84" s="28" t="str">
        <f>IF(B83="","",Eingabe!Q76)</f>
        <v/>
      </c>
      <c r="C84" s="28" t="s">
        <v>25</v>
      </c>
      <c r="D84" s="100" t="s">
        <v>345</v>
      </c>
      <c r="E84" s="213" t="s">
        <v>389</v>
      </c>
      <c r="F84" s="92"/>
      <c r="G84" s="93" t="str">
        <f>IF(G83="o","-",IF(Eingabe!$X$67="Querlüftung (FS)",2*Eingabe!$Y$69/(Eingabe!$Y$101+Eingabe!$Y$84)*$N$19,IF(Eingabe!$X$67="Querlüftung",2*Eingabe!$Y$69/(Eingabe!$Y$101+Eingabe!$Y$84)*$N$25,"-")))</f>
        <v>-</v>
      </c>
      <c r="H84" s="92"/>
      <c r="I84" s="93" t="str">
        <f>IF(I83="o","-",IF(Eingabe!$X$67="Querlüftung (FS)",2*Eingabe!$Y$69/(Eingabe!$Y$101+Eingabe!$Y$84)*$N$21,IF(Eingabe!$X$67="Querlüftung",2*Eingabe!$Y$69/(Eingabe!$Y$101+Eingabe!$Y$84)*$N$27,IF(Eingabe!$X$67="Schachtlüftung",Eingabe!$Y$69/Eingabe!$Y$84*$N$27,"Fehler"))))</f>
        <v>-</v>
      </c>
      <c r="J84" s="73"/>
      <c r="K84" s="93" t="str">
        <f>IF(K83="o","-",IF(Eingabe!$X$67="Schachtlüftung",Eingabe!$Y$69/Eingabe!$Y$84*$N$29,"-"))</f>
        <v>-</v>
      </c>
      <c r="L84" s="499" t="s">
        <v>37</v>
      </c>
      <c r="M84" s="500"/>
      <c r="N84" s="93" t="s">
        <v>37</v>
      </c>
      <c r="O84" s="93" t="str">
        <f>IF(O83="o","-",IF(Eingabe!$X$67="Schachtlüftung",Eingabe!$Y$69/Eingabe!$Y$84*$N$29,"-"))</f>
        <v>-</v>
      </c>
      <c r="P84" s="73"/>
      <c r="Q84" s="104" t="str">
        <f>IF(Q83="o","-",IF(ISNUMBER(Eingabe!AM77),Eingabe!AM77,"-"))</f>
        <v>-</v>
      </c>
      <c r="R84" s="509"/>
      <c r="S84" s="510"/>
    </row>
    <row r="85" spans="1:19" s="5" customFormat="1" ht="22.5" x14ac:dyDescent="0.2">
      <c r="A85" s="97" t="s">
        <v>387</v>
      </c>
      <c r="B85" s="492" t="str">
        <f>IF(Eingabe!$L$108="Ausgabe freie Lüftung und Ausgabe vg R-LG",IF(AND(ISTEXT(Eingabe!$N77),Eingabe!L77="ja"),Eingabe!$I77,""),"")</f>
        <v/>
      </c>
      <c r="C85" s="493"/>
      <c r="D85" s="493"/>
      <c r="E85" s="494"/>
      <c r="F85" s="99"/>
      <c r="G85" s="102" t="str">
        <f t="shared" ref="G85" si="23">CHAR(111)</f>
        <v>o</v>
      </c>
      <c r="H85" s="4"/>
      <c r="I85" s="102" t="str">
        <f t="shared" ref="I85" si="24">CHAR(111)</f>
        <v>o</v>
      </c>
      <c r="J85" s="4"/>
      <c r="K85" s="102" t="str">
        <f t="shared" ref="K85:L85" si="25">CHAR(111)</f>
        <v>o</v>
      </c>
      <c r="L85" s="495" t="str">
        <f t="shared" si="25"/>
        <v>o</v>
      </c>
      <c r="M85" s="496"/>
      <c r="N85" s="102" t="str">
        <f>CHAR(111)</f>
        <v>o</v>
      </c>
      <c r="O85" s="102" t="str">
        <f t="shared" ref="O85" si="26">CHAR(111)</f>
        <v>o</v>
      </c>
      <c r="P85" s="4"/>
      <c r="Q85" s="102" t="str">
        <f>IF($B85="",CHAR(111),IF(Eingabe!$L$108="Ausgabe freie Lüftung und Ausgabe vg R-LG",CHAR(254),CHAR(111)))</f>
        <v>o</v>
      </c>
      <c r="R85" s="503"/>
      <c r="S85" s="504"/>
    </row>
    <row r="86" spans="1:19" s="5" customFormat="1" x14ac:dyDescent="0.2">
      <c r="A86" s="212" t="s">
        <v>386</v>
      </c>
      <c r="B86" s="28" t="str">
        <f>IF(B85="","",Eingabe!Q77)</f>
        <v/>
      </c>
      <c r="C86" s="28" t="s">
        <v>25</v>
      </c>
      <c r="D86" s="100" t="s">
        <v>345</v>
      </c>
      <c r="E86" s="213" t="s">
        <v>389</v>
      </c>
      <c r="F86" s="92"/>
      <c r="G86" s="93" t="str">
        <f>IF(G85="o","-",IF(Eingabe!$X$67="Querlüftung (FS)",2*Eingabe!$Y$69/(Eingabe!$Y$101+Eingabe!$Y$84)*$N$19,IF(Eingabe!$X$67="Querlüftung",2*Eingabe!$Y$69/(Eingabe!$Y$101+Eingabe!$Y$84)*$N$25,"-")))</f>
        <v>-</v>
      </c>
      <c r="H86" s="92"/>
      <c r="I86" s="93" t="str">
        <f>IF(I85="o","-",IF(Eingabe!$X$67="Querlüftung (FS)",2*Eingabe!$Y$69/(Eingabe!$Y$101+Eingabe!$Y$84)*$N$21,IF(Eingabe!$X$67="Querlüftung",2*Eingabe!$Y$69/(Eingabe!$Y$101+Eingabe!$Y$84)*$N$27,IF(Eingabe!$X$67="Schachtlüftung",Eingabe!$Y$69/Eingabe!$Y$84*$N$27,"Fehler"))))</f>
        <v>-</v>
      </c>
      <c r="J86" s="73"/>
      <c r="K86" s="93" t="str">
        <f>IF(K85="o","-",IF(Eingabe!$X$67="Schachtlüftung",Eingabe!$Y$69/Eingabe!$Y$84*$N$29,"-"))</f>
        <v>-</v>
      </c>
      <c r="L86" s="499" t="s">
        <v>37</v>
      </c>
      <c r="M86" s="500"/>
      <c r="N86" s="93" t="s">
        <v>37</v>
      </c>
      <c r="O86" s="93" t="str">
        <f>IF(O85="o","-",IF(Eingabe!$X$67="Schachtlüftung",Eingabe!$Y$69/Eingabe!$Y$84*$N$29,"-"))</f>
        <v>-</v>
      </c>
      <c r="P86" s="73"/>
      <c r="Q86" s="104" t="str">
        <f>IF(Q85="o","-",IF(ISNUMBER(Eingabe!AM78),Eingabe!AM78,"-"))</f>
        <v>-</v>
      </c>
      <c r="R86" s="509"/>
      <c r="S86" s="510"/>
    </row>
    <row r="87" spans="1:19" s="5" customFormat="1" ht="22.5" x14ac:dyDescent="0.2">
      <c r="A87" s="97" t="s">
        <v>387</v>
      </c>
      <c r="B87" s="492" t="str">
        <f>IF(Eingabe!$L$108="Ausgabe freie Lüftung und Ausgabe vg R-LG",IF(AND(ISTEXT(Eingabe!$N78),Eingabe!L78="ja"),Eingabe!$I78,""),"")</f>
        <v/>
      </c>
      <c r="C87" s="493"/>
      <c r="D87" s="493"/>
      <c r="E87" s="494"/>
      <c r="F87" s="99"/>
      <c r="G87" s="102" t="str">
        <f t="shared" ref="G87" si="27">CHAR(111)</f>
        <v>o</v>
      </c>
      <c r="H87" s="4"/>
      <c r="I87" s="102" t="str">
        <f t="shared" ref="I87" si="28">CHAR(111)</f>
        <v>o</v>
      </c>
      <c r="J87" s="4"/>
      <c r="K87" s="102" t="str">
        <f t="shared" ref="K87:L87" si="29">CHAR(111)</f>
        <v>o</v>
      </c>
      <c r="L87" s="495" t="str">
        <f t="shared" si="29"/>
        <v>o</v>
      </c>
      <c r="M87" s="496"/>
      <c r="N87" s="102" t="str">
        <f>CHAR(111)</f>
        <v>o</v>
      </c>
      <c r="O87" s="102" t="str">
        <f t="shared" ref="O87" si="30">CHAR(111)</f>
        <v>o</v>
      </c>
      <c r="P87" s="4"/>
      <c r="Q87" s="102" t="str">
        <f>IF($B87="",CHAR(111),IF(Eingabe!$L$108="Ausgabe freie Lüftung und Ausgabe vg R-LG",CHAR(254),CHAR(111)))</f>
        <v>o</v>
      </c>
      <c r="R87" s="503"/>
      <c r="S87" s="504"/>
    </row>
    <row r="88" spans="1:19" s="5" customFormat="1" x14ac:dyDescent="0.2">
      <c r="A88" s="212" t="s">
        <v>386</v>
      </c>
      <c r="B88" s="28" t="str">
        <f>IF(B87="","",Eingabe!Q78)</f>
        <v/>
      </c>
      <c r="C88" s="28" t="s">
        <v>25</v>
      </c>
      <c r="D88" s="100" t="s">
        <v>345</v>
      </c>
      <c r="E88" s="213" t="s">
        <v>389</v>
      </c>
      <c r="F88" s="92"/>
      <c r="G88" s="93" t="str">
        <f>IF(G87="o","-",IF(Eingabe!$X$67="Querlüftung (FS)",2*Eingabe!$Y$69/(Eingabe!$Y$101+Eingabe!$Y$84)*$N$19,IF(Eingabe!$X$67="Querlüftung",2*Eingabe!$Y$69/(Eingabe!$Y$101+Eingabe!$Y$84)*$N$25,"-")))</f>
        <v>-</v>
      </c>
      <c r="H88" s="92"/>
      <c r="I88" s="93" t="str">
        <f>IF(I87="o","-",IF(Eingabe!$X$67="Querlüftung (FS)",2*Eingabe!$Y$69/(Eingabe!$Y$101+Eingabe!$Y$84)*$N$21,IF(Eingabe!$X$67="Querlüftung",2*Eingabe!$Y$69/(Eingabe!$Y$101+Eingabe!$Y$84)*$N$27,IF(Eingabe!$X$67="Schachtlüftung",Eingabe!$Y$69/Eingabe!$Y$84*$N$27,"Fehler"))))</f>
        <v>-</v>
      </c>
      <c r="J88" s="73"/>
      <c r="K88" s="93" t="str">
        <f>IF(K87="o","-",IF(Eingabe!$X$67="Schachtlüftung",Eingabe!$Y$69/Eingabe!$Y$84*$N$29,"-"))</f>
        <v>-</v>
      </c>
      <c r="L88" s="499" t="s">
        <v>37</v>
      </c>
      <c r="M88" s="500"/>
      <c r="N88" s="93" t="s">
        <v>37</v>
      </c>
      <c r="O88" s="93" t="str">
        <f>IF(O87="o","-",IF(Eingabe!$X$67="Schachtlüftung",Eingabe!$Y$69/Eingabe!$Y$84*$N$29,"-"))</f>
        <v>-</v>
      </c>
      <c r="P88" s="73"/>
      <c r="Q88" s="104" t="str">
        <f>IF(Q87="o","-",IF(ISNUMBER(Eingabe!AM79),Eingabe!AM79,"-"))</f>
        <v>-</v>
      </c>
      <c r="R88" s="509"/>
      <c r="S88" s="510"/>
    </row>
    <row r="89" spans="1:19" s="5" customFormat="1" ht="22.5" x14ac:dyDescent="0.2">
      <c r="A89" s="97" t="s">
        <v>387</v>
      </c>
      <c r="B89" s="492" t="str">
        <f>IF(Eingabe!$L$108="Ausgabe freie Lüftung und Ausgabe vg R-LG",IF(AND(ISTEXT(Eingabe!$N79),Eingabe!L79="ja"),Eingabe!$I79,""),"")</f>
        <v/>
      </c>
      <c r="C89" s="493"/>
      <c r="D89" s="493"/>
      <c r="E89" s="494"/>
      <c r="F89" s="99"/>
      <c r="G89" s="102" t="str">
        <f t="shared" ref="G89" si="31">CHAR(111)</f>
        <v>o</v>
      </c>
      <c r="H89" s="4"/>
      <c r="I89" s="102" t="str">
        <f t="shared" ref="I89" si="32">CHAR(111)</f>
        <v>o</v>
      </c>
      <c r="J89" s="4"/>
      <c r="K89" s="102" t="str">
        <f t="shared" ref="K89:L89" si="33">CHAR(111)</f>
        <v>o</v>
      </c>
      <c r="L89" s="495" t="str">
        <f t="shared" si="33"/>
        <v>o</v>
      </c>
      <c r="M89" s="496"/>
      <c r="N89" s="102" t="str">
        <f>CHAR(111)</f>
        <v>o</v>
      </c>
      <c r="O89" s="102" t="str">
        <f t="shared" ref="O89" si="34">CHAR(111)</f>
        <v>o</v>
      </c>
      <c r="P89" s="4"/>
      <c r="Q89" s="102" t="str">
        <f>IF($B89="",CHAR(111),IF(Eingabe!$L$108="Ausgabe freie Lüftung und Ausgabe vg R-LG",CHAR(254),CHAR(111)))</f>
        <v>o</v>
      </c>
      <c r="R89" s="503"/>
      <c r="S89" s="504"/>
    </row>
    <row r="90" spans="1:19" s="5" customFormat="1" x14ac:dyDescent="0.2">
      <c r="A90" s="212" t="s">
        <v>386</v>
      </c>
      <c r="B90" s="28" t="str">
        <f>IF(B89="","",Eingabe!Q79)</f>
        <v/>
      </c>
      <c r="C90" s="28" t="s">
        <v>25</v>
      </c>
      <c r="D90" s="100" t="s">
        <v>345</v>
      </c>
      <c r="E90" s="213" t="s">
        <v>389</v>
      </c>
      <c r="F90" s="92"/>
      <c r="G90" s="93" t="str">
        <f>IF(G89="o","-",IF(Eingabe!$X$67="Querlüftung (FS)",2*Eingabe!$Y$69/(Eingabe!$Y$101+Eingabe!$Y$84)*$N$19,IF(Eingabe!$X$67="Querlüftung",2*Eingabe!$Y$69/(Eingabe!$Y$101+Eingabe!$Y$84)*$N$25,"-")))</f>
        <v>-</v>
      </c>
      <c r="H90" s="92"/>
      <c r="I90" s="93" t="str">
        <f>IF(I89="o","-",IF(Eingabe!$X$67="Querlüftung (FS)",2*Eingabe!$Y$69/(Eingabe!$Y$101+Eingabe!$Y$84)*$N$21,IF(Eingabe!$X$67="Querlüftung",2*Eingabe!$Y$69/(Eingabe!$Y$101+Eingabe!$Y$84)*$N$27,IF(Eingabe!$X$67="Schachtlüftung",Eingabe!$Y$69/Eingabe!$Y$84*$N$27,"Fehler"))))</f>
        <v>-</v>
      </c>
      <c r="J90" s="73"/>
      <c r="K90" s="93" t="str">
        <f>IF(K89="o","-",IF(Eingabe!$X$67="Schachtlüftung",Eingabe!$Y$69/Eingabe!$Y$84*$N$29,"-"))</f>
        <v>-</v>
      </c>
      <c r="L90" s="499" t="s">
        <v>37</v>
      </c>
      <c r="M90" s="500"/>
      <c r="N90" s="93" t="s">
        <v>37</v>
      </c>
      <c r="O90" s="93" t="str">
        <f>IF(O89="o","-",IF(Eingabe!$X$67="Schachtlüftung",Eingabe!$Y$69/Eingabe!$Y$84*$N$29,"-"))</f>
        <v>-</v>
      </c>
      <c r="P90" s="73"/>
      <c r="Q90" s="104" t="str">
        <f>IF(Q89="o","-",IF(ISNUMBER(Eingabe!AM80),Eingabe!AM80,"-"))</f>
        <v>-</v>
      </c>
      <c r="R90" s="509"/>
      <c r="S90" s="510"/>
    </row>
    <row r="91" spans="1:19" s="5" customFormat="1" ht="22.5" x14ac:dyDescent="0.2">
      <c r="A91" s="97" t="s">
        <v>387</v>
      </c>
      <c r="B91" s="492" t="str">
        <f>IF(Eingabe!$L$108="Ausgabe freie Lüftung und Ausgabe vg R-LG",IF(AND(ISTEXT(Eingabe!$N80),Eingabe!L80="ja"),Eingabe!$I80,""),"")</f>
        <v/>
      </c>
      <c r="C91" s="493"/>
      <c r="D91" s="493"/>
      <c r="E91" s="494"/>
      <c r="F91" s="99"/>
      <c r="G91" s="102" t="str">
        <f t="shared" ref="G91" si="35">CHAR(111)</f>
        <v>o</v>
      </c>
      <c r="H91" s="4"/>
      <c r="I91" s="102" t="str">
        <f t="shared" ref="I91" si="36">CHAR(111)</f>
        <v>o</v>
      </c>
      <c r="J91" s="4"/>
      <c r="K91" s="102" t="str">
        <f t="shared" ref="K91:L91" si="37">CHAR(111)</f>
        <v>o</v>
      </c>
      <c r="L91" s="495" t="str">
        <f t="shared" si="37"/>
        <v>o</v>
      </c>
      <c r="M91" s="496"/>
      <c r="N91" s="102" t="str">
        <f>CHAR(111)</f>
        <v>o</v>
      </c>
      <c r="O91" s="102" t="str">
        <f t="shared" ref="O91" si="38">CHAR(111)</f>
        <v>o</v>
      </c>
      <c r="P91" s="4"/>
      <c r="Q91" s="102" t="str">
        <f>IF($B91="",CHAR(111),IF(Eingabe!$L$108="Ausgabe freie Lüftung und Ausgabe vg R-LG",CHAR(254),CHAR(111)))</f>
        <v>o</v>
      </c>
      <c r="R91" s="503"/>
      <c r="S91" s="504"/>
    </row>
    <row r="92" spans="1:19" s="5" customFormat="1" x14ac:dyDescent="0.2">
      <c r="A92" s="212" t="s">
        <v>386</v>
      </c>
      <c r="B92" s="28" t="str">
        <f>IF(B91="","",Eingabe!Q80)</f>
        <v/>
      </c>
      <c r="C92" s="28" t="s">
        <v>25</v>
      </c>
      <c r="D92" s="100" t="s">
        <v>345</v>
      </c>
      <c r="E92" s="213" t="s">
        <v>389</v>
      </c>
      <c r="F92" s="92"/>
      <c r="G92" s="93" t="str">
        <f>IF(G91="o","-",IF(Eingabe!$X$67="Querlüftung (FS)",2*Eingabe!$Y$69/(Eingabe!$Y$101+Eingabe!$Y$84)*$N$19,IF(Eingabe!$X$67="Querlüftung",2*Eingabe!$Y$69/(Eingabe!$Y$101+Eingabe!$Y$84)*$N$25,"-")))</f>
        <v>-</v>
      </c>
      <c r="H92" s="92"/>
      <c r="I92" s="93" t="str">
        <f>IF(I91="o","-",IF(Eingabe!$X$67="Querlüftung (FS)",2*Eingabe!$Y$69/(Eingabe!$Y$101+Eingabe!$Y$84)*$N$21,IF(Eingabe!$X$67="Querlüftung",2*Eingabe!$Y$69/(Eingabe!$Y$101+Eingabe!$Y$84)*$N$27,IF(Eingabe!$X$67="Schachtlüftung",Eingabe!$Y$69/Eingabe!$Y$84*$N$27,"Fehler"))))</f>
        <v>-</v>
      </c>
      <c r="J92" s="73"/>
      <c r="K92" s="93" t="str">
        <f>IF(K91="o","-",IF(Eingabe!$X$67="Schachtlüftung",Eingabe!$Y$69/Eingabe!$Y$84*$N$29,"-"))</f>
        <v>-</v>
      </c>
      <c r="L92" s="499" t="s">
        <v>37</v>
      </c>
      <c r="M92" s="500"/>
      <c r="N92" s="93" t="s">
        <v>37</v>
      </c>
      <c r="O92" s="93" t="str">
        <f>IF(O91="o","-",IF(Eingabe!$X$67="Schachtlüftung",Eingabe!$Y$69/Eingabe!$Y$84*$N$29,"-"))</f>
        <v>-</v>
      </c>
      <c r="P92" s="73"/>
      <c r="Q92" s="104" t="str">
        <f>IF(Q91="o","-",IF(ISNUMBER(Eingabe!AM81),Eingabe!AM81,"-"))</f>
        <v>-</v>
      </c>
      <c r="R92" s="509"/>
      <c r="S92" s="510"/>
    </row>
    <row r="93" spans="1:19" s="5" customFormat="1" ht="22.5" x14ac:dyDescent="0.2">
      <c r="A93" s="97" t="s">
        <v>387</v>
      </c>
      <c r="B93" s="492" t="str">
        <f>IF(Eingabe!$L$108="Ausgabe freie Lüftung und Ausgabe vg R-LG",IF(AND(ISTEXT(Eingabe!$N81),Eingabe!L81="ja"),Eingabe!$I81,""),"")</f>
        <v/>
      </c>
      <c r="C93" s="493"/>
      <c r="D93" s="493"/>
      <c r="E93" s="494"/>
      <c r="F93" s="99"/>
      <c r="G93" s="102" t="str">
        <f t="shared" ref="G93" si="39">CHAR(111)</f>
        <v>o</v>
      </c>
      <c r="H93" s="4"/>
      <c r="I93" s="102" t="str">
        <f t="shared" ref="I93" si="40">CHAR(111)</f>
        <v>o</v>
      </c>
      <c r="J93" s="4"/>
      <c r="K93" s="102" t="str">
        <f t="shared" ref="K93:L93" si="41">CHAR(111)</f>
        <v>o</v>
      </c>
      <c r="L93" s="495" t="str">
        <f t="shared" si="41"/>
        <v>o</v>
      </c>
      <c r="M93" s="496"/>
      <c r="N93" s="102" t="str">
        <f>CHAR(111)</f>
        <v>o</v>
      </c>
      <c r="O93" s="102" t="str">
        <f t="shared" ref="O93" si="42">CHAR(111)</f>
        <v>o</v>
      </c>
      <c r="P93" s="4"/>
      <c r="Q93" s="102" t="str">
        <f>IF($B93="",CHAR(111),IF(Eingabe!$L$108="Ausgabe freie Lüftung und Ausgabe vg R-LG",CHAR(254),CHAR(111)))</f>
        <v>o</v>
      </c>
      <c r="R93" s="503"/>
      <c r="S93" s="504"/>
    </row>
    <row r="94" spans="1:19" s="5" customFormat="1" x14ac:dyDescent="0.2">
      <c r="A94" s="212" t="s">
        <v>386</v>
      </c>
      <c r="B94" s="28" t="str">
        <f>IF(B93="","",Eingabe!Q81)</f>
        <v/>
      </c>
      <c r="C94" s="28" t="s">
        <v>25</v>
      </c>
      <c r="D94" s="100" t="s">
        <v>345</v>
      </c>
      <c r="E94" s="213" t="s">
        <v>389</v>
      </c>
      <c r="F94" s="92"/>
      <c r="G94" s="93" t="str">
        <f>IF(G93="o","-",IF(Eingabe!$X$67="Querlüftung (FS)",2*Eingabe!$Y$69/(Eingabe!$Y$101+Eingabe!$Y$84)*$N$19,IF(Eingabe!$X$67="Querlüftung",2*Eingabe!$Y$69/(Eingabe!$Y$101+Eingabe!$Y$84)*$N$25,"-")))</f>
        <v>-</v>
      </c>
      <c r="H94" s="92"/>
      <c r="I94" s="93" t="str">
        <f>IF(I93="o","-",IF(Eingabe!$X$67="Querlüftung (FS)",2*Eingabe!$Y$69/(Eingabe!$Y$101+Eingabe!$Y$84)*$N$21,IF(Eingabe!$X$67="Querlüftung",2*Eingabe!$Y$69/(Eingabe!$Y$101+Eingabe!$Y$84)*$N$27,IF(Eingabe!$X$67="Schachtlüftung",Eingabe!$Y$69/Eingabe!$Y$84*$N$27,"Fehler"))))</f>
        <v>-</v>
      </c>
      <c r="J94" s="73"/>
      <c r="K94" s="93" t="str">
        <f>IF(K93="o","-",IF(Eingabe!$X$67="Schachtlüftung",Eingabe!$Y$69/Eingabe!$Y$84*$N$29,"-"))</f>
        <v>-</v>
      </c>
      <c r="L94" s="499" t="s">
        <v>37</v>
      </c>
      <c r="M94" s="500"/>
      <c r="N94" s="93" t="s">
        <v>37</v>
      </c>
      <c r="O94" s="93" t="str">
        <f>IF(O93="o","-",IF(Eingabe!$X$67="Schachtlüftung",Eingabe!$Y$69/Eingabe!$Y$84*$N$29,"-"))</f>
        <v>-</v>
      </c>
      <c r="P94" s="73"/>
      <c r="Q94" s="104" t="str">
        <f>IF(Q93="o","-",IF(ISNUMBER(Eingabe!AM82),Eingabe!AM82,"-"))</f>
        <v>-</v>
      </c>
      <c r="R94" s="509"/>
      <c r="S94" s="510"/>
    </row>
    <row r="95" spans="1:19" s="5" customFormat="1" ht="22.5" x14ac:dyDescent="0.2">
      <c r="A95" s="97" t="s">
        <v>387</v>
      </c>
      <c r="B95" s="492" t="str">
        <f>IF(Eingabe!$L$108="Ausgabe freie Lüftung und Ausgabe vg R-LG",IF(AND(ISTEXT(Eingabe!$N82),Eingabe!L82="ja"),Eingabe!$I82,""),"")</f>
        <v/>
      </c>
      <c r="C95" s="493"/>
      <c r="D95" s="493"/>
      <c r="E95" s="494"/>
      <c r="F95" s="99"/>
      <c r="G95" s="102" t="str">
        <f t="shared" ref="G95" si="43">CHAR(111)</f>
        <v>o</v>
      </c>
      <c r="H95" s="4"/>
      <c r="I95" s="102" t="str">
        <f t="shared" ref="I95" si="44">CHAR(111)</f>
        <v>o</v>
      </c>
      <c r="J95" s="4"/>
      <c r="K95" s="102" t="str">
        <f t="shared" ref="K95:L95" si="45">CHAR(111)</f>
        <v>o</v>
      </c>
      <c r="L95" s="495" t="str">
        <f t="shared" si="45"/>
        <v>o</v>
      </c>
      <c r="M95" s="496"/>
      <c r="N95" s="102" t="str">
        <f>CHAR(111)</f>
        <v>o</v>
      </c>
      <c r="O95" s="102" t="str">
        <f t="shared" ref="O95" si="46">CHAR(111)</f>
        <v>o</v>
      </c>
      <c r="P95" s="4"/>
      <c r="Q95" s="102" t="str">
        <f>IF($B95="",CHAR(111),IF(Eingabe!$L$108="Ausgabe freie Lüftung und Ausgabe vg R-LG",CHAR(254),CHAR(111)))</f>
        <v>o</v>
      </c>
      <c r="R95" s="503"/>
      <c r="S95" s="504"/>
    </row>
    <row r="96" spans="1:19" s="5" customFormat="1" x14ac:dyDescent="0.2">
      <c r="A96" s="212" t="s">
        <v>386</v>
      </c>
      <c r="B96" s="28" t="str">
        <f>IF(B95="","",Eingabe!Q82)</f>
        <v/>
      </c>
      <c r="C96" s="28" t="s">
        <v>25</v>
      </c>
      <c r="D96" s="100" t="s">
        <v>345</v>
      </c>
      <c r="E96" s="213" t="s">
        <v>389</v>
      </c>
      <c r="F96" s="92"/>
      <c r="G96" s="93" t="str">
        <f>IF(G95="o","-",IF(Eingabe!$X$67="Querlüftung (FS)",2*Eingabe!$Y$69/(Eingabe!$Y$101+Eingabe!$Y$84)*$N$19,IF(Eingabe!$X$67="Querlüftung",2*Eingabe!$Y$69/(Eingabe!$Y$101+Eingabe!$Y$84)*$N$25,"-")))</f>
        <v>-</v>
      </c>
      <c r="H96" s="92"/>
      <c r="I96" s="93" t="str">
        <f>IF(I95="o","-",IF(Eingabe!$X$67="Querlüftung (FS)",2*Eingabe!$Y$69/(Eingabe!$Y$101+Eingabe!$Y$84)*$N$21,IF(Eingabe!$X$67="Querlüftung",2*Eingabe!$Y$69/(Eingabe!$Y$101+Eingabe!$Y$84)*$N$27,IF(Eingabe!$X$67="Schachtlüftung",Eingabe!$Y$69/Eingabe!$Y$84*$N$27,"Fehler"))))</f>
        <v>-</v>
      </c>
      <c r="J96" s="73"/>
      <c r="K96" s="93" t="str">
        <f>IF(K95="o","-",IF(Eingabe!$X$67="Schachtlüftung",Eingabe!$Y$69/Eingabe!$Y$84*$N$29,"-"))</f>
        <v>-</v>
      </c>
      <c r="L96" s="499" t="s">
        <v>37</v>
      </c>
      <c r="M96" s="500"/>
      <c r="N96" s="93" t="s">
        <v>37</v>
      </c>
      <c r="O96" s="93" t="str">
        <f>IF(O95="o","-",IF(Eingabe!$X$67="Schachtlüftung",Eingabe!$Y$69/Eingabe!$Y$84*$N$29,"-"))</f>
        <v>-</v>
      </c>
      <c r="P96" s="73"/>
      <c r="Q96" s="104" t="str">
        <f>IF(Q95="o","-",IF(ISNUMBER(Eingabe!AM83),Eingabe!AM83,"-"))</f>
        <v>-</v>
      </c>
      <c r="R96" s="509"/>
      <c r="S96" s="510"/>
    </row>
    <row r="97" spans="1:19" s="5" customFormat="1" ht="22.5" x14ac:dyDescent="0.2">
      <c r="A97" s="97" t="s">
        <v>387</v>
      </c>
      <c r="B97" s="492" t="str">
        <f>IF(Eingabe!$L$108="Ausgabe freie Lüftung und Ausgabe vg R-LG",IF(AND(ISTEXT(Eingabe!$N83),Eingabe!L83="ja"),Eingabe!$I83,""),"")</f>
        <v/>
      </c>
      <c r="C97" s="493"/>
      <c r="D97" s="493"/>
      <c r="E97" s="494"/>
      <c r="F97" s="99"/>
      <c r="G97" s="102" t="str">
        <f t="shared" ref="G97" si="47">CHAR(111)</f>
        <v>o</v>
      </c>
      <c r="H97" s="4"/>
      <c r="I97" s="102" t="str">
        <f t="shared" ref="I97" si="48">CHAR(111)</f>
        <v>o</v>
      </c>
      <c r="J97" s="4"/>
      <c r="K97" s="102" t="str">
        <f t="shared" ref="K97:L97" si="49">CHAR(111)</f>
        <v>o</v>
      </c>
      <c r="L97" s="495" t="str">
        <f t="shared" si="49"/>
        <v>o</v>
      </c>
      <c r="M97" s="496"/>
      <c r="N97" s="102" t="str">
        <f>CHAR(111)</f>
        <v>o</v>
      </c>
      <c r="O97" s="102" t="str">
        <f t="shared" ref="O97" si="50">CHAR(111)</f>
        <v>o</v>
      </c>
      <c r="P97" s="4"/>
      <c r="Q97" s="102" t="str">
        <f>IF($B97="",CHAR(111),IF(Eingabe!$L$108="Ausgabe freie Lüftung und Ausgabe vg R-LG",CHAR(254),CHAR(111)))</f>
        <v>o</v>
      </c>
      <c r="R97" s="503"/>
      <c r="S97" s="504"/>
    </row>
    <row r="98" spans="1:19" s="5" customFormat="1" x14ac:dyDescent="0.2">
      <c r="A98" s="212" t="s">
        <v>386</v>
      </c>
      <c r="B98" s="28" t="str">
        <f>IF(B97="","",Eingabe!Q83)</f>
        <v/>
      </c>
      <c r="C98" s="28" t="s">
        <v>25</v>
      </c>
      <c r="D98" s="100" t="s">
        <v>345</v>
      </c>
      <c r="E98" s="213" t="s">
        <v>389</v>
      </c>
      <c r="F98" s="92"/>
      <c r="G98" s="93" t="str">
        <f>IF(G97="o","-",IF(Eingabe!$X$67="Querlüftung (FS)",2*Eingabe!$Y$69/(Eingabe!$Y$101+Eingabe!$Y$84)*$N$19,IF(Eingabe!$X$67="Querlüftung",2*Eingabe!$Y$69/(Eingabe!$Y$101+Eingabe!$Y$84)*$N$25,"-")))</f>
        <v>-</v>
      </c>
      <c r="H98" s="92"/>
      <c r="I98" s="93" t="str">
        <f>IF(I97="o","-",IF(Eingabe!$X$67="Querlüftung (FS)",2*Eingabe!$Y$69/(Eingabe!$Y$101+Eingabe!$Y$84)*$N$21,IF(Eingabe!$X$67="Querlüftung",2*Eingabe!$Y$69/(Eingabe!$Y$101+Eingabe!$Y$84)*$N$27,IF(Eingabe!$X$67="Schachtlüftung",Eingabe!$Y$69/Eingabe!$Y$84*$N$27,"Fehler"))))</f>
        <v>-</v>
      </c>
      <c r="J98" s="73"/>
      <c r="K98" s="93" t="str">
        <f>IF(K97="o","-",IF(Eingabe!$X$67="Schachtlüftung",Eingabe!$Y$69/Eingabe!$Y$84*$N$29,"-"))</f>
        <v>-</v>
      </c>
      <c r="L98" s="499" t="s">
        <v>37</v>
      </c>
      <c r="M98" s="500"/>
      <c r="N98" s="93" t="s">
        <v>37</v>
      </c>
      <c r="O98" s="93" t="str">
        <f>IF(O97="o","-",IF(Eingabe!$X$67="Schachtlüftung",Eingabe!$Y$69/Eingabe!$Y$84*$N$29,"-"))</f>
        <v>-</v>
      </c>
      <c r="P98" s="73"/>
      <c r="Q98" s="104" t="str">
        <f>IF(Q97="o","-",IF(ISNUMBER(Eingabe!AM84),Eingabe!AM84,"-"))</f>
        <v>-</v>
      </c>
      <c r="R98" s="509"/>
      <c r="S98" s="510"/>
    </row>
    <row r="99" spans="1:19" s="5" customFormat="1" ht="22.5" x14ac:dyDescent="0.2">
      <c r="A99" s="97" t="s">
        <v>387</v>
      </c>
      <c r="B99" s="492" t="str">
        <f>IF(Eingabe!$L$108="Ausgabe freie Lüftung und Ausgabe vg R-LG",IF(AND(ISTEXT(Eingabe!$N84),Eingabe!L84="ja"),Eingabe!$I84,""),"")</f>
        <v/>
      </c>
      <c r="C99" s="493"/>
      <c r="D99" s="493"/>
      <c r="E99" s="494"/>
      <c r="F99" s="99"/>
      <c r="G99" s="102" t="str">
        <f t="shared" ref="G99" si="51">CHAR(111)</f>
        <v>o</v>
      </c>
      <c r="H99" s="4"/>
      <c r="I99" s="102" t="str">
        <f t="shared" ref="I99" si="52">CHAR(111)</f>
        <v>o</v>
      </c>
      <c r="J99" s="4"/>
      <c r="K99" s="102" t="str">
        <f t="shared" ref="K99:L99" si="53">CHAR(111)</f>
        <v>o</v>
      </c>
      <c r="L99" s="495" t="str">
        <f t="shared" si="53"/>
        <v>o</v>
      </c>
      <c r="M99" s="496"/>
      <c r="N99" s="102" t="str">
        <f>CHAR(111)</f>
        <v>o</v>
      </c>
      <c r="O99" s="102" t="str">
        <f t="shared" ref="O99" si="54">CHAR(111)</f>
        <v>o</v>
      </c>
      <c r="P99" s="4"/>
      <c r="Q99" s="102" t="str">
        <f>IF($B99="",CHAR(111),IF(Eingabe!$L$108="Ausgabe freie Lüftung und Ausgabe vg R-LG",CHAR(254),CHAR(111)))</f>
        <v>o</v>
      </c>
      <c r="R99" s="503"/>
      <c r="S99" s="504"/>
    </row>
    <row r="100" spans="1:19" s="5" customFormat="1" x14ac:dyDescent="0.2">
      <c r="A100" s="212" t="s">
        <v>386</v>
      </c>
      <c r="B100" s="28" t="str">
        <f>IF(B99="","",Eingabe!Q84)</f>
        <v/>
      </c>
      <c r="C100" s="28" t="s">
        <v>25</v>
      </c>
      <c r="D100" s="100" t="s">
        <v>345</v>
      </c>
      <c r="E100" s="213" t="s">
        <v>389</v>
      </c>
      <c r="F100" s="92"/>
      <c r="G100" s="93" t="str">
        <f>IF(G99="o","-",IF(Eingabe!$X$67="Querlüftung (FS)",2*Eingabe!$Y$69/(Eingabe!$Y$101+Eingabe!$Y$84)*$N$19,IF(Eingabe!$X$67="Querlüftung",2*Eingabe!$Y$69/(Eingabe!$Y$101+Eingabe!$Y$84)*$N$25,"-")))</f>
        <v>-</v>
      </c>
      <c r="H100" s="92"/>
      <c r="I100" s="93" t="str">
        <f>IF(I99="o","-",IF(Eingabe!$X$67="Querlüftung (FS)",2*Eingabe!$Y$69/(Eingabe!$Y$101+Eingabe!$Y$84)*$N$21,IF(Eingabe!$X$67="Querlüftung",2*Eingabe!$Y$69/(Eingabe!$Y$101+Eingabe!$Y$84)*$N$27,IF(Eingabe!$X$67="Schachtlüftung",Eingabe!$Y$69/Eingabe!$Y$84*$N$27,"Fehler"))))</f>
        <v>-</v>
      </c>
      <c r="J100" s="73"/>
      <c r="K100" s="93" t="str">
        <f>IF(K99="o","-",IF(Eingabe!$X$67="Schachtlüftung",Eingabe!$Y$69/Eingabe!$Y$84*$N$29,"-"))</f>
        <v>-</v>
      </c>
      <c r="L100" s="499" t="s">
        <v>37</v>
      </c>
      <c r="M100" s="500"/>
      <c r="N100" s="93" t="s">
        <v>37</v>
      </c>
      <c r="O100" s="93" t="str">
        <f>IF(O99="o","-",IF(Eingabe!$X$67="Schachtlüftung",Eingabe!$Y$69/Eingabe!$Y$84*$N$29,"-"))</f>
        <v>-</v>
      </c>
      <c r="P100" s="73"/>
      <c r="Q100" s="104" t="str">
        <f>IF(Q99="o","-",IF(ISNUMBER(Eingabe!AM85),Eingabe!AM85,"-"))</f>
        <v>-</v>
      </c>
      <c r="R100" s="509"/>
      <c r="S100" s="510"/>
    </row>
    <row r="101" spans="1:19" s="5" customFormat="1" ht="22.5" x14ac:dyDescent="0.2">
      <c r="A101" s="97" t="s">
        <v>387</v>
      </c>
      <c r="B101" s="492" t="str">
        <f>IF(Eingabe!$L$108="Ausgabe freie Lüftung und Ausgabe vg R-LG",IF(AND(ISTEXT(Eingabe!$N85),Eingabe!L85="ja"),Eingabe!$I85,""),"")</f>
        <v/>
      </c>
      <c r="C101" s="493"/>
      <c r="D101" s="493"/>
      <c r="E101" s="494"/>
      <c r="F101" s="99"/>
      <c r="G101" s="102" t="str">
        <f t="shared" ref="G101" si="55">CHAR(111)</f>
        <v>o</v>
      </c>
      <c r="H101" s="4"/>
      <c r="I101" s="102" t="str">
        <f t="shared" ref="I101" si="56">CHAR(111)</f>
        <v>o</v>
      </c>
      <c r="J101" s="4"/>
      <c r="K101" s="102" t="str">
        <f t="shared" ref="K101:L101" si="57">CHAR(111)</f>
        <v>o</v>
      </c>
      <c r="L101" s="495" t="str">
        <f t="shared" si="57"/>
        <v>o</v>
      </c>
      <c r="M101" s="496"/>
      <c r="N101" s="102" t="str">
        <f>CHAR(111)</f>
        <v>o</v>
      </c>
      <c r="O101" s="102" t="str">
        <f t="shared" ref="O101" si="58">CHAR(111)</f>
        <v>o</v>
      </c>
      <c r="P101" s="4"/>
      <c r="Q101" s="102" t="str">
        <f>IF($B101="",CHAR(111),IF(Eingabe!$L$108="Ausgabe freie Lüftung und Ausgabe vg R-LG",CHAR(254),CHAR(111)))</f>
        <v>o</v>
      </c>
      <c r="R101" s="503"/>
      <c r="S101" s="504"/>
    </row>
    <row r="102" spans="1:19" s="5" customFormat="1" x14ac:dyDescent="0.2">
      <c r="A102" s="212" t="s">
        <v>386</v>
      </c>
      <c r="B102" s="28" t="str">
        <f>IF(B101="","",Eingabe!Q85)</f>
        <v/>
      </c>
      <c r="C102" s="28" t="s">
        <v>25</v>
      </c>
      <c r="D102" s="100" t="s">
        <v>345</v>
      </c>
      <c r="E102" s="213" t="s">
        <v>389</v>
      </c>
      <c r="F102" s="92"/>
      <c r="G102" s="93" t="str">
        <f>IF(G101="o","-",IF(Eingabe!$X$67="Querlüftung (FS)",2*Eingabe!$Y$69/(Eingabe!$Y$101+Eingabe!$Y$84)*$N$19,IF(Eingabe!$X$67="Querlüftung",2*Eingabe!$Y$69/(Eingabe!$Y$101+Eingabe!$Y$84)*$N$25,"-")))</f>
        <v>-</v>
      </c>
      <c r="H102" s="92"/>
      <c r="I102" s="93" t="str">
        <f>IF(I101="o","-",IF(Eingabe!$X$67="Querlüftung (FS)",2*Eingabe!$Y$69/(Eingabe!$Y$101+Eingabe!$Y$84)*$N$21,IF(Eingabe!$X$67="Querlüftung",2*Eingabe!$Y$69/(Eingabe!$Y$101+Eingabe!$Y$84)*$N$27,IF(Eingabe!$X$67="Schachtlüftung",Eingabe!$Y$69/Eingabe!$Y$84*$N$27,"Fehler"))))</f>
        <v>-</v>
      </c>
      <c r="J102" s="73"/>
      <c r="K102" s="93" t="str">
        <f>IF(K101="o","-",IF(Eingabe!$X$67="Schachtlüftung",Eingabe!$Y$69/Eingabe!$Y$84*$N$29,"-"))</f>
        <v>-</v>
      </c>
      <c r="L102" s="499" t="s">
        <v>37</v>
      </c>
      <c r="M102" s="500"/>
      <c r="N102" s="93" t="s">
        <v>37</v>
      </c>
      <c r="O102" s="93" t="str">
        <f>IF(O101="o","-",IF(Eingabe!$X$67="Schachtlüftung",Eingabe!$Y$69/Eingabe!$Y$84*$N$29,"-"))</f>
        <v>-</v>
      </c>
      <c r="P102" s="73"/>
      <c r="Q102" s="104" t="str">
        <f>IF(Q101="o","-",IF(ISNUMBER(Eingabe!AM86),Eingabe!AM86,"-"))</f>
        <v>-</v>
      </c>
      <c r="R102" s="509"/>
      <c r="S102" s="510"/>
    </row>
    <row r="103" spans="1:19" s="5" customFormat="1" ht="22.5" x14ac:dyDescent="0.2">
      <c r="A103" s="97" t="s">
        <v>387</v>
      </c>
      <c r="B103" s="492" t="str">
        <f>IF(Eingabe!$L$108="Ausgabe freie Lüftung und Ausgabe vg R-LG",IF(AND(ISTEXT(Eingabe!$N86),Eingabe!L86="ja"),Eingabe!$I86,""),"")</f>
        <v/>
      </c>
      <c r="C103" s="493"/>
      <c r="D103" s="493"/>
      <c r="E103" s="494"/>
      <c r="F103" s="99"/>
      <c r="G103" s="102" t="str">
        <f t="shared" ref="G103" si="59">CHAR(111)</f>
        <v>o</v>
      </c>
      <c r="H103" s="4"/>
      <c r="I103" s="102" t="str">
        <f t="shared" ref="I103" si="60">CHAR(111)</f>
        <v>o</v>
      </c>
      <c r="J103" s="4"/>
      <c r="K103" s="102" t="str">
        <f t="shared" ref="K103:L103" si="61">CHAR(111)</f>
        <v>o</v>
      </c>
      <c r="L103" s="495" t="str">
        <f t="shared" si="61"/>
        <v>o</v>
      </c>
      <c r="M103" s="496"/>
      <c r="N103" s="102" t="str">
        <f>CHAR(111)</f>
        <v>o</v>
      </c>
      <c r="O103" s="102" t="str">
        <f t="shared" ref="O103" si="62">CHAR(111)</f>
        <v>o</v>
      </c>
      <c r="P103" s="4"/>
      <c r="Q103" s="102" t="str">
        <f>IF($B103="",CHAR(111),IF(Eingabe!$L$108="Ausgabe freie Lüftung und Ausgabe vg R-LG",CHAR(254),CHAR(111)))</f>
        <v>o</v>
      </c>
      <c r="R103" s="503"/>
      <c r="S103" s="504"/>
    </row>
    <row r="104" spans="1:19" s="5" customFormat="1" x14ac:dyDescent="0.2">
      <c r="A104" s="212" t="s">
        <v>386</v>
      </c>
      <c r="B104" s="28" t="str">
        <f>IF(B103="","",Eingabe!Q86)</f>
        <v/>
      </c>
      <c r="C104" s="28" t="s">
        <v>25</v>
      </c>
      <c r="D104" s="100" t="s">
        <v>345</v>
      </c>
      <c r="E104" s="213" t="s">
        <v>389</v>
      </c>
      <c r="F104" s="92"/>
      <c r="G104" s="93" t="str">
        <f>IF(G103="o","-",IF(Eingabe!$X$67="Querlüftung (FS)",2*Eingabe!$Y$69/(Eingabe!$Y$101+Eingabe!$Y$84)*$N$19,IF(Eingabe!$X$67="Querlüftung",2*Eingabe!$Y$69/(Eingabe!$Y$101+Eingabe!$Y$84)*$N$25,"-")))</f>
        <v>-</v>
      </c>
      <c r="H104" s="92"/>
      <c r="I104" s="93" t="str">
        <f>IF(I103="o","-",IF(Eingabe!$X$67="Querlüftung (FS)",2*Eingabe!$Y$69/(Eingabe!$Y$101+Eingabe!$Y$84)*$N$21,IF(Eingabe!$X$67="Querlüftung",2*Eingabe!$Y$69/(Eingabe!$Y$101+Eingabe!$Y$84)*$N$27,IF(Eingabe!$X$67="Schachtlüftung",Eingabe!$Y$69/Eingabe!$Y$84*$N$27,"Fehler"))))</f>
        <v>-</v>
      </c>
      <c r="J104" s="73"/>
      <c r="K104" s="93" t="str">
        <f>IF(K103="o","-",IF(Eingabe!$X$67="Schachtlüftung",Eingabe!$Y$69/Eingabe!$Y$84*$N$29,"-"))</f>
        <v>-</v>
      </c>
      <c r="L104" s="499" t="s">
        <v>37</v>
      </c>
      <c r="M104" s="500"/>
      <c r="N104" s="93" t="s">
        <v>37</v>
      </c>
      <c r="O104" s="93" t="str">
        <f>IF(O103="o","-",IF(Eingabe!$X$67="Schachtlüftung",Eingabe!$Y$69/Eingabe!$Y$84*$N$29,"-"))</f>
        <v>-</v>
      </c>
      <c r="P104" s="73"/>
      <c r="Q104" s="104" t="str">
        <f>IF(Q103="o","-",IF(ISNUMBER(Eingabe!AM87),Eingabe!AM87,"-"))</f>
        <v>-</v>
      </c>
      <c r="R104" s="509"/>
      <c r="S104" s="510"/>
    </row>
    <row r="105" spans="1:19" s="5" customFormat="1" ht="22.5" x14ac:dyDescent="0.2">
      <c r="A105" s="97" t="s">
        <v>387</v>
      </c>
      <c r="B105" s="492" t="str">
        <f>IF(Eingabe!$L$108="Ausgabe freie Lüftung und Ausgabe vg R-LG",IF(AND(ISTEXT(Eingabe!$N87),Eingabe!L87="ja"),Eingabe!$I87,""),"")</f>
        <v/>
      </c>
      <c r="C105" s="493"/>
      <c r="D105" s="493"/>
      <c r="E105" s="494"/>
      <c r="F105" s="99"/>
      <c r="G105" s="102" t="str">
        <f t="shared" ref="G105" si="63">CHAR(111)</f>
        <v>o</v>
      </c>
      <c r="H105" s="4"/>
      <c r="I105" s="102" t="str">
        <f t="shared" ref="I105" si="64">CHAR(111)</f>
        <v>o</v>
      </c>
      <c r="J105" s="4"/>
      <c r="K105" s="102" t="str">
        <f t="shared" ref="K105:L105" si="65">CHAR(111)</f>
        <v>o</v>
      </c>
      <c r="L105" s="495" t="str">
        <f t="shared" si="65"/>
        <v>o</v>
      </c>
      <c r="M105" s="496"/>
      <c r="N105" s="102" t="str">
        <f>CHAR(111)</f>
        <v>o</v>
      </c>
      <c r="O105" s="102" t="str">
        <f t="shared" ref="O105" si="66">CHAR(111)</f>
        <v>o</v>
      </c>
      <c r="P105" s="4"/>
      <c r="Q105" s="102" t="str">
        <f>IF($B105="",CHAR(111),IF(Eingabe!$L$108="Ausgabe freie Lüftung und Ausgabe vg R-LG",CHAR(254),CHAR(111)))</f>
        <v>o</v>
      </c>
      <c r="R105" s="503"/>
      <c r="S105" s="504"/>
    </row>
    <row r="106" spans="1:19" s="5" customFormat="1" x14ac:dyDescent="0.2">
      <c r="A106" s="212" t="s">
        <v>386</v>
      </c>
      <c r="B106" s="28" t="str">
        <f>IF(B105="","",Eingabe!Q87)</f>
        <v/>
      </c>
      <c r="C106" s="28" t="s">
        <v>25</v>
      </c>
      <c r="D106" s="100" t="s">
        <v>345</v>
      </c>
      <c r="E106" s="213" t="s">
        <v>389</v>
      </c>
      <c r="F106" s="92"/>
      <c r="G106" s="93" t="str">
        <f>IF(G105="o","-",IF(Eingabe!$X$67="Querlüftung (FS)",2*Eingabe!$Y$69/(Eingabe!$Y$101+Eingabe!$Y$84)*$N$19,IF(Eingabe!$X$67="Querlüftung",2*Eingabe!$Y$69/(Eingabe!$Y$101+Eingabe!$Y$84)*$N$25,"-")))</f>
        <v>-</v>
      </c>
      <c r="H106" s="92"/>
      <c r="I106" s="93" t="str">
        <f>IF(I105="o","-",IF(Eingabe!$X$67="Querlüftung (FS)",2*Eingabe!$Y$69/(Eingabe!$Y$101+Eingabe!$Y$84)*$N$21,IF(Eingabe!$X$67="Querlüftung",2*Eingabe!$Y$69/(Eingabe!$Y$101+Eingabe!$Y$84)*$N$27,IF(Eingabe!$X$67="Schachtlüftung",Eingabe!$Y$69/Eingabe!$Y$84*$N$27,"Fehler"))))</f>
        <v>-</v>
      </c>
      <c r="J106" s="73"/>
      <c r="K106" s="93" t="str">
        <f>IF(K105="o","-",IF(Eingabe!$X$67="Schachtlüftung",Eingabe!$Y$69/Eingabe!$Y$84*$N$29,"-"))</f>
        <v>-</v>
      </c>
      <c r="L106" s="499" t="s">
        <v>37</v>
      </c>
      <c r="M106" s="500"/>
      <c r="N106" s="93" t="s">
        <v>37</v>
      </c>
      <c r="O106" s="93" t="str">
        <f>IF(O105="o","-",IF(Eingabe!$X$67="Schachtlüftung",Eingabe!$Y$69/Eingabe!$Y$84*$N$29,"-"))</f>
        <v>-</v>
      </c>
      <c r="P106" s="73"/>
      <c r="Q106" s="104" t="str">
        <f>IF(Q105="o","-",IF(ISNUMBER(Eingabe!AM88),Eingabe!AM88,"-"))</f>
        <v>-</v>
      </c>
      <c r="R106" s="509"/>
      <c r="S106" s="510"/>
    </row>
    <row r="107" spans="1:19" s="5" customFormat="1" ht="22.5" x14ac:dyDescent="0.2">
      <c r="A107" s="97" t="s">
        <v>387</v>
      </c>
      <c r="B107" s="492" t="str">
        <f>IF(Eingabe!$L$108="Ausgabe freie Lüftung und Ausgabe vg R-LG",IF(AND(ISTEXT(Eingabe!$N88),Eingabe!L88="ja"),Eingabe!$I88,""),"")</f>
        <v/>
      </c>
      <c r="C107" s="493"/>
      <c r="D107" s="493"/>
      <c r="E107" s="494"/>
      <c r="F107" s="99"/>
      <c r="G107" s="102" t="str">
        <f t="shared" ref="G107" si="67">CHAR(111)</f>
        <v>o</v>
      </c>
      <c r="H107" s="4"/>
      <c r="I107" s="102" t="str">
        <f t="shared" ref="I107" si="68">CHAR(111)</f>
        <v>o</v>
      </c>
      <c r="J107" s="4"/>
      <c r="K107" s="102" t="str">
        <f t="shared" ref="K107:L107" si="69">CHAR(111)</f>
        <v>o</v>
      </c>
      <c r="L107" s="495" t="str">
        <f t="shared" si="69"/>
        <v>o</v>
      </c>
      <c r="M107" s="496"/>
      <c r="N107" s="102" t="str">
        <f>CHAR(111)</f>
        <v>o</v>
      </c>
      <c r="O107" s="102" t="str">
        <f t="shared" ref="O107" si="70">CHAR(111)</f>
        <v>o</v>
      </c>
      <c r="P107" s="4"/>
      <c r="Q107" s="102" t="str">
        <f>IF($B107="",CHAR(111),IF(Eingabe!$L$108="Ausgabe freie Lüftung und Ausgabe vg R-LG",CHAR(254),CHAR(111)))</f>
        <v>o</v>
      </c>
      <c r="R107" s="503"/>
      <c r="S107" s="504"/>
    </row>
    <row r="108" spans="1:19" s="5" customFormat="1" x14ac:dyDescent="0.2">
      <c r="A108" s="214" t="s">
        <v>386</v>
      </c>
      <c r="B108" s="320" t="str">
        <f>IF(B107="","",Eingabe!Q88)</f>
        <v/>
      </c>
      <c r="C108" s="109" t="s">
        <v>25</v>
      </c>
      <c r="D108" s="91" t="s">
        <v>345</v>
      </c>
      <c r="E108" s="117" t="s">
        <v>389</v>
      </c>
      <c r="F108" s="111"/>
      <c r="G108" s="93" t="str">
        <f>IF(G107="o","-",IF(Eingabe!$X$67="Querlüftung (FS)",2*Eingabe!$Y$69/(Eingabe!$Y$101+Eingabe!$Y$84)*$N$19,IF(Eingabe!$X$67="Querlüftung",2*Eingabe!$Y$69/(Eingabe!$Y$101+Eingabe!$Y$84)*$N$25,"-")))</f>
        <v>-</v>
      </c>
      <c r="H108" s="92"/>
      <c r="I108" s="93" t="str">
        <f>IF(I107="o","-",IF(Eingabe!$X$67="Querlüftung (FS)",2*Eingabe!$Y$69/(Eingabe!$Y$101+Eingabe!$Y$84)*$N$21,IF(Eingabe!$X$67="Querlüftung",2*Eingabe!$Y$69/(Eingabe!$Y$101+Eingabe!$Y$84)*$N$27,IF(Eingabe!$X$67="Schachtlüftung",Eingabe!$Y$69/Eingabe!$Y$84*$N$27,"Fehler"))))</f>
        <v>-</v>
      </c>
      <c r="J108" s="73"/>
      <c r="K108" s="93" t="str">
        <f>IF(K107="o","-",IF(Eingabe!$X$67="Schachtlüftung",Eingabe!$Y$69/Eingabe!$Y$84*$N$29,"-"))</f>
        <v>-</v>
      </c>
      <c r="L108" s="499" t="s">
        <v>37</v>
      </c>
      <c r="M108" s="500"/>
      <c r="N108" s="93" t="s">
        <v>37</v>
      </c>
      <c r="O108" s="93" t="str">
        <f>IF(O107="o","-",IF(Eingabe!$X$67="Schachtlüftung",Eingabe!$Y$69/Eingabe!$Y$84*$N$29,"-"))</f>
        <v>-</v>
      </c>
      <c r="P108" s="113"/>
      <c r="Q108" s="104" t="str">
        <f>IF(Q107="o","-",IF(ISNUMBER(Eingabe!AM89),Eingabe!AM89,"-"))</f>
        <v>-</v>
      </c>
      <c r="R108" s="516"/>
      <c r="S108" s="517"/>
    </row>
    <row r="109" spans="1:19" s="5" customFormat="1" x14ac:dyDescent="0.2">
      <c r="A109" s="116"/>
      <c r="B109" s="17"/>
      <c r="C109" s="303" t="s">
        <v>393</v>
      </c>
      <c r="D109" s="115" t="s">
        <v>391</v>
      </c>
      <c r="E109" s="117" t="s">
        <v>389</v>
      </c>
      <c r="F109" s="17"/>
      <c r="G109" s="118" t="str">
        <f>IF($B79="","-",IF(G79="o","-",IF(G79="þ",SUM(G79:G108),0)))</f>
        <v>-</v>
      </c>
      <c r="H109" s="17"/>
      <c r="I109" s="118" t="str">
        <f>IF($B79="","-",IF(I79="o","-",IF(I79="þ",SUM(I79:I108),0)))</f>
        <v>-</v>
      </c>
      <c r="J109" s="17"/>
      <c r="K109" s="118" t="str">
        <f>IF($B79="","-",IF(K79="o","-",IF(K79="þ",SUM(K79:K108),0)))</f>
        <v>-</v>
      </c>
      <c r="L109" s="518" t="str">
        <f>IF($B79="","-",IF(L79="o","-",IF(L79="þ",SUM(L79:L108),0)))</f>
        <v>-</v>
      </c>
      <c r="M109" s="519"/>
      <c r="N109" s="118" t="str">
        <f>IF($B79="","-",IF(N79="o","-",IF(N79="þ",SUM(N79:N108),0)))</f>
        <v>-</v>
      </c>
      <c r="O109" s="118" t="str">
        <f>IF($B79="","-",IF(O79="o","-",IF(O79="þ",SUM(O79:O108),0)))</f>
        <v>-</v>
      </c>
      <c r="P109" s="17"/>
      <c r="Q109" s="119">
        <f>SUM(Q79:Q108)</f>
        <v>0</v>
      </c>
      <c r="R109" s="520"/>
      <c r="S109" s="379"/>
    </row>
    <row r="110" spans="1:19" s="5" customFormat="1" x14ac:dyDescent="0.2">
      <c r="A110"/>
      <c r="B110"/>
      <c r="C110"/>
      <c r="D110"/>
      <c r="E110"/>
      <c r="F110"/>
      <c r="G110"/>
      <c r="H110"/>
      <c r="I110"/>
      <c r="J110"/>
      <c r="K110"/>
      <c r="L110"/>
      <c r="M110"/>
      <c r="N110"/>
      <c r="O110"/>
      <c r="P110"/>
      <c r="Q110"/>
      <c r="R110"/>
      <c r="S110"/>
    </row>
  </sheetData>
  <sheetProtection password="EFEE" sheet="1" objects="1" scenarios="1"/>
  <mergeCells count="194">
    <mergeCell ref="D11:I11"/>
    <mergeCell ref="N11:O11"/>
    <mergeCell ref="D17:L17"/>
    <mergeCell ref="N17:S17"/>
    <mergeCell ref="N19:O19"/>
    <mergeCell ref="AE19:AF19"/>
    <mergeCell ref="D5:L5"/>
    <mergeCell ref="N5:S5"/>
    <mergeCell ref="D7:I7"/>
    <mergeCell ref="N7:O7"/>
    <mergeCell ref="D9:I9"/>
    <mergeCell ref="N9:O9"/>
    <mergeCell ref="AH25:AJ25"/>
    <mergeCell ref="AH26:AJ26"/>
    <mergeCell ref="N27:O27"/>
    <mergeCell ref="AI27:AJ27"/>
    <mergeCell ref="AG19:AJ19"/>
    <mergeCell ref="AH20:AJ20"/>
    <mergeCell ref="N21:O21"/>
    <mergeCell ref="AD21:AD23"/>
    <mergeCell ref="AE21:AG23"/>
    <mergeCell ref="AH21:AI21"/>
    <mergeCell ref="AJ21:AJ23"/>
    <mergeCell ref="N23:O23"/>
    <mergeCell ref="AH23:AI23"/>
    <mergeCell ref="N29:O29"/>
    <mergeCell ref="N31:O31"/>
    <mergeCell ref="N33:O33"/>
    <mergeCell ref="N35:O35"/>
    <mergeCell ref="D39:L39"/>
    <mergeCell ref="N39:S39"/>
    <mergeCell ref="Z24:AA24"/>
    <mergeCell ref="N25:O25"/>
    <mergeCell ref="AE25:AF25"/>
    <mergeCell ref="B44:E44"/>
    <mergeCell ref="L44:M44"/>
    <mergeCell ref="R44:S44"/>
    <mergeCell ref="L45:M45"/>
    <mergeCell ref="R45:S45"/>
    <mergeCell ref="B46:E46"/>
    <mergeCell ref="L46:M46"/>
    <mergeCell ref="R46:S46"/>
    <mergeCell ref="L41:M41"/>
    <mergeCell ref="R41:S41"/>
    <mergeCell ref="B42:E42"/>
    <mergeCell ref="L42:M42"/>
    <mergeCell ref="R42:S42"/>
    <mergeCell ref="L43:M43"/>
    <mergeCell ref="R43:S43"/>
    <mergeCell ref="B50:E50"/>
    <mergeCell ref="L50:M50"/>
    <mergeCell ref="R50:S50"/>
    <mergeCell ref="L51:M51"/>
    <mergeCell ref="R51:S51"/>
    <mergeCell ref="B52:E52"/>
    <mergeCell ref="L52:M52"/>
    <mergeCell ref="R52:S52"/>
    <mergeCell ref="L47:M47"/>
    <mergeCell ref="R47:S47"/>
    <mergeCell ref="B48:E48"/>
    <mergeCell ref="L48:M48"/>
    <mergeCell ref="R48:S48"/>
    <mergeCell ref="L49:M49"/>
    <mergeCell ref="R49:S49"/>
    <mergeCell ref="B56:E56"/>
    <mergeCell ref="L56:M56"/>
    <mergeCell ref="R56:S56"/>
    <mergeCell ref="L57:M57"/>
    <mergeCell ref="R57:S57"/>
    <mergeCell ref="B58:E58"/>
    <mergeCell ref="L58:M58"/>
    <mergeCell ref="R58:S58"/>
    <mergeCell ref="L53:M53"/>
    <mergeCell ref="R53:S53"/>
    <mergeCell ref="B54:E54"/>
    <mergeCell ref="L54:M54"/>
    <mergeCell ref="R54:S54"/>
    <mergeCell ref="L55:M55"/>
    <mergeCell ref="R55:S55"/>
    <mergeCell ref="B62:E62"/>
    <mergeCell ref="L62:M62"/>
    <mergeCell ref="R62:S62"/>
    <mergeCell ref="L63:M63"/>
    <mergeCell ref="R63:S63"/>
    <mergeCell ref="B64:E64"/>
    <mergeCell ref="L64:M64"/>
    <mergeCell ref="R64:S64"/>
    <mergeCell ref="L59:M59"/>
    <mergeCell ref="R59:S59"/>
    <mergeCell ref="B60:E60"/>
    <mergeCell ref="L60:M60"/>
    <mergeCell ref="R60:S60"/>
    <mergeCell ref="L61:M61"/>
    <mergeCell ref="R61:S61"/>
    <mergeCell ref="B68:E68"/>
    <mergeCell ref="L68:M68"/>
    <mergeCell ref="R68:S68"/>
    <mergeCell ref="L69:M69"/>
    <mergeCell ref="R69:S69"/>
    <mergeCell ref="B70:E70"/>
    <mergeCell ref="L70:M70"/>
    <mergeCell ref="R70:S70"/>
    <mergeCell ref="L65:M65"/>
    <mergeCell ref="R65:S65"/>
    <mergeCell ref="B66:E66"/>
    <mergeCell ref="L66:M66"/>
    <mergeCell ref="R66:S66"/>
    <mergeCell ref="L67:M67"/>
    <mergeCell ref="R67:S67"/>
    <mergeCell ref="L78:M78"/>
    <mergeCell ref="R78:S78"/>
    <mergeCell ref="B79:E79"/>
    <mergeCell ref="L79:M79"/>
    <mergeCell ref="R79:S79"/>
    <mergeCell ref="L80:M80"/>
    <mergeCell ref="R80:S80"/>
    <mergeCell ref="L71:M71"/>
    <mergeCell ref="R71:S71"/>
    <mergeCell ref="L72:M72"/>
    <mergeCell ref="R72:S72"/>
    <mergeCell ref="D76:L76"/>
    <mergeCell ref="N76:S76"/>
    <mergeCell ref="L84:M84"/>
    <mergeCell ref="R84:S84"/>
    <mergeCell ref="B85:E85"/>
    <mergeCell ref="L85:M85"/>
    <mergeCell ref="R85:S85"/>
    <mergeCell ref="L86:M86"/>
    <mergeCell ref="R86:S86"/>
    <mergeCell ref="B81:E81"/>
    <mergeCell ref="L81:M81"/>
    <mergeCell ref="R81:S81"/>
    <mergeCell ref="L82:M82"/>
    <mergeCell ref="R82:S82"/>
    <mergeCell ref="B83:E83"/>
    <mergeCell ref="L83:M83"/>
    <mergeCell ref="R83:S83"/>
    <mergeCell ref="L90:M90"/>
    <mergeCell ref="R90:S90"/>
    <mergeCell ref="B91:E91"/>
    <mergeCell ref="L91:M91"/>
    <mergeCell ref="R91:S91"/>
    <mergeCell ref="L92:M92"/>
    <mergeCell ref="R92:S92"/>
    <mergeCell ref="B87:E87"/>
    <mergeCell ref="L87:M87"/>
    <mergeCell ref="R87:S87"/>
    <mergeCell ref="L88:M88"/>
    <mergeCell ref="R88:S88"/>
    <mergeCell ref="B89:E89"/>
    <mergeCell ref="L89:M89"/>
    <mergeCell ref="R89:S89"/>
    <mergeCell ref="L96:M96"/>
    <mergeCell ref="R96:S96"/>
    <mergeCell ref="B97:E97"/>
    <mergeCell ref="L97:M97"/>
    <mergeCell ref="R97:S97"/>
    <mergeCell ref="L98:M98"/>
    <mergeCell ref="R98:S98"/>
    <mergeCell ref="B93:E93"/>
    <mergeCell ref="L93:M93"/>
    <mergeCell ref="R93:S93"/>
    <mergeCell ref="L94:M94"/>
    <mergeCell ref="R94:S94"/>
    <mergeCell ref="B95:E95"/>
    <mergeCell ref="L95:M95"/>
    <mergeCell ref="R95:S95"/>
    <mergeCell ref="L102:M102"/>
    <mergeCell ref="R102:S102"/>
    <mergeCell ref="B103:E103"/>
    <mergeCell ref="L103:M103"/>
    <mergeCell ref="R103:S103"/>
    <mergeCell ref="L104:M104"/>
    <mergeCell ref="R104:S104"/>
    <mergeCell ref="B99:E99"/>
    <mergeCell ref="L99:M99"/>
    <mergeCell ref="R99:S99"/>
    <mergeCell ref="L100:M100"/>
    <mergeCell ref="R100:S100"/>
    <mergeCell ref="B101:E101"/>
    <mergeCell ref="L101:M101"/>
    <mergeCell ref="R101:S101"/>
    <mergeCell ref="L108:M108"/>
    <mergeCell ref="R108:S108"/>
    <mergeCell ref="L109:M109"/>
    <mergeCell ref="R109:S109"/>
    <mergeCell ref="B105:E105"/>
    <mergeCell ref="L105:M105"/>
    <mergeCell ref="R105:S105"/>
    <mergeCell ref="L106:M106"/>
    <mergeCell ref="R106:S106"/>
    <mergeCell ref="B107:E107"/>
    <mergeCell ref="L107:M107"/>
    <mergeCell ref="R107:S107"/>
  </mergeCells>
  <conditionalFormatting sqref="B47 B45 B43 B49 B51 B53 B55 B57 B59 B61 B63 B65 B67 B69 B71 B80 B82 B84 B86 B88 B90 B92 B94 B96 B98 B100 B102 B104 B106 B108">
    <cfRule type="expression" dxfId="9" priority="9" stopIfTrue="1">
      <formula>B43=""</formula>
    </cfRule>
    <cfRule type="expression" dxfId="8" priority="10" stopIfTrue="1">
      <formula>ISTEXT(B42)</formula>
    </cfRule>
  </conditionalFormatting>
  <conditionalFormatting sqref="C43 C45 C47 C49 C51 C53 C55 C57 C59 C61 C63 C65 C67 C69 C71 C80 C82 C84 C86 C88 C90 C92 C94 C96 C98 C100 C102 C104 C106 C108">
    <cfRule type="expression" dxfId="7" priority="7" stopIfTrue="1">
      <formula>B42=""</formula>
    </cfRule>
    <cfRule type="expression" dxfId="6" priority="8" stopIfTrue="1">
      <formula>ISTEXT(B42)</formula>
    </cfRule>
  </conditionalFormatting>
  <conditionalFormatting sqref="H47 H45 H53 H51 H43 F43 D23:H23 D21:H21 D29:H29 D27:H27 D35:H35 D33:H33 H55 F55 F45 F47 H49 F49 F51 F53 H57 F57 H59 F59 H61 F61 H63 F63 H65 F65 H67 F67 H69 F69 H71 F71 F108 H80 F80 F92 F82 F84 F86 F88 F90 F94 F96 F98 F100 F102 F104 F106 H82 H84 H86 H88 H90 H92 H94 H96 H98 H100 H102 H104 H106 H108 Q9 D9:I9 K9:L9 D11:I12 K11:L11 Q11">
    <cfRule type="expression" dxfId="5" priority="5" stopIfTrue="1">
      <formula>#REF!="Querlüftung (FS)"</formula>
    </cfRule>
    <cfRule type="expression" dxfId="4" priority="6" stopIfTrue="1">
      <formula>OR(#REF!="Querlüftung",#REF!="Schachtlüftung",#REF!="Zuluftsystem",#REF!="Abluftsystem",#REF!="Zu-/Abluft-System")</formula>
    </cfRule>
  </conditionalFormatting>
  <conditionalFormatting sqref="G41 I41 Q41 Q43 K23:N23 N41:O41 K19:N19 K21:N21 L43 K41:L41 G19 I19 Q19 Q21 Q23 I21 I23 L55 L45 L47 L49 L51 L53 L57 L59 L61 L63 L65 L67 L69 L71 G78 I78 Q78 Q80 N78:O78 L80 K78:L78 Q45 Q47 Q51 Q55 Q59 Q63 Q67 Q71 Q49 Q53 Q57 Q61 Q65 Q69 Q82 Q84 Q86 Q88 Q90 Q92 Q94 Q96 Q98 Q100 Q102 Q104 Q106 Q108 L82 L84 L86 L88 L90 L92 L94 L96 L98 L100 L102 L104 L106 L108">
    <cfRule type="expression" dxfId="3" priority="3" stopIfTrue="1">
      <formula>$N$17="Querlüftung (FS)"</formula>
    </cfRule>
    <cfRule type="expression" dxfId="2" priority="4" stopIfTrue="1">
      <formula>OR($N$17="Querlüftung",$N$17="Schachtlüftung")</formula>
    </cfRule>
  </conditionalFormatting>
  <conditionalFormatting sqref="I27 I29 K29:N29 K25:N25 Q25 G25 Q27 I25 Q29 K27:N27">
    <cfRule type="expression" dxfId="1" priority="1" stopIfTrue="1">
      <formula>$N$17="Querlüftung (FS)"</formula>
    </cfRule>
    <cfRule type="expression" dxfId="0" priority="2" stopIfTrue="1">
      <formula>OR($N$17="Querlüftung",$N$17="Schachtlüftung")</formula>
    </cfRule>
  </conditionalFormatting>
  <pageMargins left="0.7" right="0.7" top="0.78740157499999996" bottom="0.78740157499999996" header="0.3" footer="0.3"/>
  <pageSetup paperSize="9" scale="76" orientation="portrait" horizontalDpi="0" verticalDpi="0" r:id="rId1"/>
  <rowBreaks count="2" manualBreakCount="2">
    <brk id="36" max="16383" man="1"/>
    <brk id="73" max="16383" man="1"/>
  </rowBreaks>
  <colBreaks count="1" manualBreakCount="1">
    <brk id="1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N180"/>
  <sheetViews>
    <sheetView showGridLines="0" view="pageBreakPreview" zoomScale="85" zoomScaleNormal="85" zoomScaleSheetLayoutView="85" workbookViewId="0">
      <selection activeCell="H46" sqref="H46"/>
    </sheetView>
  </sheetViews>
  <sheetFormatPr baseColWidth="10" defaultRowHeight="12.75" x14ac:dyDescent="0.2"/>
  <cols>
    <col min="1" max="1" width="4.7109375" customWidth="1"/>
    <col min="2" max="2" width="30.7109375" customWidth="1"/>
    <col min="3" max="3" width="1.7109375" customWidth="1"/>
    <col min="4" max="4" width="4.7109375" customWidth="1"/>
    <col min="5" max="5" width="30.7109375" customWidth="1"/>
    <col min="6" max="6" width="1.7109375" customWidth="1"/>
    <col min="7" max="7" width="4.7109375" customWidth="1"/>
    <col min="8" max="8" width="30.7109375" customWidth="1"/>
    <col min="9" max="9" width="1.7109375" customWidth="1"/>
    <col min="10" max="10" width="4.7109375" customWidth="1"/>
    <col min="11" max="11" width="30.7109375" customWidth="1"/>
    <col min="12" max="12" width="1.7109375" customWidth="1"/>
    <col min="13" max="13" width="4.7109375" customWidth="1"/>
    <col min="14" max="14" width="30.7109375" customWidth="1"/>
  </cols>
  <sheetData>
    <row r="1" spans="1:14" ht="18" customHeight="1" thickBot="1" x14ac:dyDescent="0.25">
      <c r="A1" s="540" t="s">
        <v>298</v>
      </c>
      <c r="B1" s="541"/>
      <c r="C1" s="541"/>
      <c r="D1" s="541"/>
      <c r="E1" s="541"/>
      <c r="F1" s="541"/>
      <c r="G1" s="541"/>
      <c r="H1" s="541"/>
      <c r="I1" s="541"/>
      <c r="J1" s="541"/>
      <c r="K1" s="541"/>
      <c r="L1" s="541"/>
      <c r="M1" s="541"/>
      <c r="N1" s="542"/>
    </row>
    <row r="2" spans="1:14" ht="15.75" customHeight="1" thickBot="1" x14ac:dyDescent="0.3">
      <c r="A2" s="184" t="s">
        <v>98</v>
      </c>
      <c r="B2" s="185" t="s">
        <v>99</v>
      </c>
      <c r="C2" s="50"/>
      <c r="D2" s="183" t="s">
        <v>279</v>
      </c>
      <c r="E2" s="186" t="s">
        <v>283</v>
      </c>
      <c r="F2" s="50"/>
      <c r="G2" s="183" t="s">
        <v>272</v>
      </c>
      <c r="H2" s="186" t="s">
        <v>276</v>
      </c>
      <c r="I2" s="50"/>
      <c r="J2" s="183" t="s">
        <v>237</v>
      </c>
      <c r="K2" s="186" t="s">
        <v>261</v>
      </c>
      <c r="L2" s="50"/>
      <c r="M2" s="184" t="s">
        <v>246</v>
      </c>
      <c r="N2" s="185" t="s">
        <v>250</v>
      </c>
    </row>
    <row r="3" spans="1:14" ht="15.75" customHeight="1" x14ac:dyDescent="0.2">
      <c r="A3" s="131"/>
      <c r="B3" s="185" t="s">
        <v>103</v>
      </c>
      <c r="C3" s="50"/>
      <c r="D3" s="50"/>
      <c r="E3" s="186" t="s">
        <v>287</v>
      </c>
      <c r="F3" s="50"/>
      <c r="G3" s="50"/>
      <c r="H3" s="186" t="s">
        <v>280</v>
      </c>
      <c r="I3" s="50"/>
      <c r="J3" s="50"/>
      <c r="K3" s="186" t="s">
        <v>265</v>
      </c>
      <c r="L3" s="50"/>
      <c r="M3" s="50"/>
      <c r="N3" s="185" t="s">
        <v>254</v>
      </c>
    </row>
    <row r="4" spans="1:14" ht="15.75" customHeight="1" x14ac:dyDescent="0.2">
      <c r="A4" s="131"/>
      <c r="B4" s="185" t="s">
        <v>107</v>
      </c>
      <c r="C4" s="50"/>
      <c r="D4" s="50"/>
      <c r="E4" s="186" t="s">
        <v>291</v>
      </c>
      <c r="F4" s="50"/>
      <c r="G4" s="50"/>
      <c r="H4" s="186" t="s">
        <v>284</v>
      </c>
      <c r="I4" s="50"/>
      <c r="J4" s="50"/>
      <c r="K4" s="186" t="s">
        <v>269</v>
      </c>
      <c r="L4" s="50"/>
      <c r="M4" s="50"/>
      <c r="N4" s="185" t="s">
        <v>258</v>
      </c>
    </row>
    <row r="5" spans="1:14" ht="15.75" customHeight="1" x14ac:dyDescent="0.2">
      <c r="A5" s="131"/>
      <c r="B5" s="185" t="s">
        <v>111</v>
      </c>
      <c r="C5" s="50"/>
      <c r="D5" s="50"/>
      <c r="E5" s="186" t="s">
        <v>295</v>
      </c>
      <c r="F5" s="50"/>
      <c r="G5" s="50"/>
      <c r="H5" s="186" t="s">
        <v>288</v>
      </c>
      <c r="I5" s="50"/>
      <c r="J5" s="50"/>
      <c r="K5" s="186" t="s">
        <v>273</v>
      </c>
      <c r="L5" s="50"/>
      <c r="M5" s="50"/>
      <c r="N5" s="185" t="s">
        <v>262</v>
      </c>
    </row>
    <row r="6" spans="1:14" ht="15.75" customHeight="1" x14ac:dyDescent="0.2">
      <c r="A6" s="131"/>
      <c r="B6" s="185" t="s">
        <v>115</v>
      </c>
      <c r="C6" s="50"/>
      <c r="D6" s="50"/>
      <c r="E6" s="186" t="s">
        <v>100</v>
      </c>
      <c r="F6" s="50"/>
      <c r="G6" s="50"/>
      <c r="H6" s="186" t="s">
        <v>292</v>
      </c>
      <c r="I6" s="50"/>
      <c r="J6" s="50"/>
      <c r="K6" s="186" t="s">
        <v>277</v>
      </c>
      <c r="L6" s="50"/>
      <c r="M6" s="50"/>
      <c r="N6" s="185" t="s">
        <v>266</v>
      </c>
    </row>
    <row r="7" spans="1:14" ht="15.75" customHeight="1" thickBot="1" x14ac:dyDescent="0.25">
      <c r="A7" s="131"/>
      <c r="B7" s="185" t="s">
        <v>119</v>
      </c>
      <c r="C7" s="50"/>
      <c r="D7" s="50"/>
      <c r="E7" s="186" t="s">
        <v>104</v>
      </c>
      <c r="F7" s="50"/>
      <c r="G7" s="50"/>
      <c r="H7" s="186" t="s">
        <v>296</v>
      </c>
      <c r="I7" s="50"/>
      <c r="J7" s="50"/>
      <c r="K7" s="186" t="s">
        <v>281</v>
      </c>
      <c r="L7" s="50"/>
      <c r="M7" s="50"/>
      <c r="N7" s="185" t="s">
        <v>270</v>
      </c>
    </row>
    <row r="8" spans="1:14" ht="15.75" customHeight="1" thickBot="1" x14ac:dyDescent="0.3">
      <c r="A8" s="131"/>
      <c r="B8" s="185" t="s">
        <v>123</v>
      </c>
      <c r="C8" s="50"/>
      <c r="D8" s="184" t="s">
        <v>108</v>
      </c>
      <c r="E8" s="185" t="s">
        <v>112</v>
      </c>
      <c r="F8" s="50"/>
      <c r="G8" s="50"/>
      <c r="H8" s="186" t="s">
        <v>101</v>
      </c>
      <c r="I8" s="50"/>
      <c r="J8" s="50"/>
      <c r="K8" s="186" t="s">
        <v>285</v>
      </c>
      <c r="L8" s="50"/>
      <c r="M8" s="50"/>
      <c r="N8" s="185" t="s">
        <v>274</v>
      </c>
    </row>
    <row r="9" spans="1:14" ht="15.75" customHeight="1" thickBot="1" x14ac:dyDescent="0.3">
      <c r="A9" s="131"/>
      <c r="B9" s="185" t="s">
        <v>127</v>
      </c>
      <c r="C9" s="50"/>
      <c r="D9" s="50"/>
      <c r="E9" s="185" t="s">
        <v>116</v>
      </c>
      <c r="F9" s="50"/>
      <c r="G9" s="50"/>
      <c r="H9" s="186" t="s">
        <v>105</v>
      </c>
      <c r="I9" s="50"/>
      <c r="J9" s="184" t="s">
        <v>289</v>
      </c>
      <c r="K9" s="185" t="s">
        <v>293</v>
      </c>
      <c r="L9" s="50"/>
      <c r="M9" s="50"/>
      <c r="N9" s="185" t="s">
        <v>278</v>
      </c>
    </row>
    <row r="10" spans="1:14" ht="15.75" customHeight="1" thickBot="1" x14ac:dyDescent="0.25">
      <c r="A10" s="131"/>
      <c r="B10" s="185" t="s">
        <v>131</v>
      </c>
      <c r="C10" s="50"/>
      <c r="D10" s="50"/>
      <c r="E10" s="185" t="s">
        <v>120</v>
      </c>
      <c r="F10" s="50"/>
      <c r="G10" s="50"/>
      <c r="H10" s="186" t="s">
        <v>109</v>
      </c>
      <c r="I10" s="50"/>
      <c r="J10" s="50"/>
      <c r="K10" s="185" t="s">
        <v>297</v>
      </c>
      <c r="L10" s="50"/>
      <c r="M10" s="50"/>
      <c r="N10" s="185" t="s">
        <v>282</v>
      </c>
    </row>
    <row r="11" spans="1:14" ht="15.75" customHeight="1" thickBot="1" x14ac:dyDescent="0.3">
      <c r="A11" s="183" t="s">
        <v>135</v>
      </c>
      <c r="B11" s="186" t="s">
        <v>139</v>
      </c>
      <c r="C11" s="50"/>
      <c r="D11" s="50"/>
      <c r="E11" s="185" t="s">
        <v>124</v>
      </c>
      <c r="F11" s="50"/>
      <c r="G11" s="50"/>
      <c r="H11" s="186" t="s">
        <v>113</v>
      </c>
      <c r="I11" s="50"/>
      <c r="J11" s="50"/>
      <c r="K11" s="185" t="s">
        <v>102</v>
      </c>
      <c r="L11" s="50"/>
      <c r="M11" s="50"/>
      <c r="N11" s="185" t="s">
        <v>286</v>
      </c>
    </row>
    <row r="12" spans="1:14" ht="15.75" customHeight="1" x14ac:dyDescent="0.2">
      <c r="A12" s="131"/>
      <c r="B12" s="186" t="s">
        <v>143</v>
      </c>
      <c r="C12" s="50"/>
      <c r="D12" s="50"/>
      <c r="E12" s="185" t="s">
        <v>128</v>
      </c>
      <c r="F12" s="50"/>
      <c r="G12" s="50"/>
      <c r="H12" s="186" t="s">
        <v>117</v>
      </c>
      <c r="I12" s="50"/>
      <c r="J12" s="50"/>
      <c r="K12" s="185" t="s">
        <v>106</v>
      </c>
      <c r="L12" s="50"/>
      <c r="M12" s="50"/>
      <c r="N12" s="185" t="s">
        <v>290</v>
      </c>
    </row>
    <row r="13" spans="1:14" ht="15.75" customHeight="1" x14ac:dyDescent="0.2">
      <c r="A13" s="131"/>
      <c r="B13" s="186" t="s">
        <v>147</v>
      </c>
      <c r="C13" s="50"/>
      <c r="D13" s="50"/>
      <c r="E13" s="185" t="s">
        <v>132</v>
      </c>
      <c r="F13" s="50"/>
      <c r="G13" s="50"/>
      <c r="H13" s="186" t="s">
        <v>121</v>
      </c>
      <c r="I13" s="50"/>
      <c r="J13" s="50"/>
      <c r="K13" s="185" t="s">
        <v>110</v>
      </c>
      <c r="L13" s="50"/>
      <c r="M13" s="50"/>
      <c r="N13" s="185" t="s">
        <v>294</v>
      </c>
    </row>
    <row r="14" spans="1:14" ht="15.75" customHeight="1" x14ac:dyDescent="0.2">
      <c r="A14" s="131"/>
      <c r="B14" s="186" t="s">
        <v>151</v>
      </c>
      <c r="C14" s="50"/>
      <c r="D14" s="50"/>
      <c r="E14" s="185" t="s">
        <v>136</v>
      </c>
      <c r="F14" s="50"/>
      <c r="G14" s="50"/>
      <c r="H14" s="186" t="s">
        <v>125</v>
      </c>
      <c r="I14" s="50"/>
      <c r="J14" s="50"/>
      <c r="K14" s="185" t="s">
        <v>114</v>
      </c>
      <c r="L14" s="50"/>
      <c r="M14" s="50"/>
      <c r="N14" s="126"/>
    </row>
    <row r="15" spans="1:14" ht="15.75" customHeight="1" thickBot="1" x14ac:dyDescent="0.25">
      <c r="A15" s="131"/>
      <c r="B15" s="186" t="s">
        <v>155</v>
      </c>
      <c r="C15" s="50"/>
      <c r="D15" s="50"/>
      <c r="E15" s="185" t="s">
        <v>140</v>
      </c>
      <c r="F15" s="50"/>
      <c r="G15" s="50"/>
      <c r="H15" s="186" t="s">
        <v>129</v>
      </c>
      <c r="I15" s="50"/>
      <c r="J15" s="50"/>
      <c r="K15" s="185" t="s">
        <v>118</v>
      </c>
      <c r="L15" s="50"/>
      <c r="M15" s="50"/>
      <c r="N15" s="126"/>
    </row>
    <row r="16" spans="1:14" ht="15.75" customHeight="1" thickBot="1" x14ac:dyDescent="0.3">
      <c r="A16" s="131"/>
      <c r="B16" s="186" t="s">
        <v>159</v>
      </c>
      <c r="C16" s="50"/>
      <c r="D16" s="50"/>
      <c r="E16" s="185" t="s">
        <v>144</v>
      </c>
      <c r="F16" s="50"/>
      <c r="G16" s="184" t="s">
        <v>133</v>
      </c>
      <c r="H16" s="185" t="s">
        <v>137</v>
      </c>
      <c r="I16" s="50"/>
      <c r="J16" s="50"/>
      <c r="K16" s="185" t="s">
        <v>122</v>
      </c>
      <c r="L16" s="50"/>
      <c r="M16" s="50"/>
      <c r="N16" s="126"/>
    </row>
    <row r="17" spans="1:14" ht="15.75" customHeight="1" thickBot="1" x14ac:dyDescent="0.3">
      <c r="A17" s="131"/>
      <c r="B17" s="186" t="s">
        <v>163</v>
      </c>
      <c r="C17" s="50"/>
      <c r="D17" s="183" t="s">
        <v>148</v>
      </c>
      <c r="E17" s="186" t="s">
        <v>152</v>
      </c>
      <c r="F17" s="50"/>
      <c r="G17" s="50"/>
      <c r="H17" s="185" t="s">
        <v>141</v>
      </c>
      <c r="I17" s="50"/>
      <c r="J17" s="50"/>
      <c r="K17" s="185" t="s">
        <v>126</v>
      </c>
      <c r="L17" s="50"/>
      <c r="M17" s="50"/>
      <c r="N17" s="126"/>
    </row>
    <row r="18" spans="1:14" ht="15.75" customHeight="1" x14ac:dyDescent="0.2">
      <c r="A18" s="131"/>
      <c r="B18" s="186" t="s">
        <v>167</v>
      </c>
      <c r="C18" s="50"/>
      <c r="D18" s="50"/>
      <c r="E18" s="186" t="s">
        <v>156</v>
      </c>
      <c r="F18" s="50"/>
      <c r="G18" s="50"/>
      <c r="H18" s="185" t="s">
        <v>145</v>
      </c>
      <c r="I18" s="50"/>
      <c r="J18" s="50"/>
      <c r="K18" s="185" t="s">
        <v>130</v>
      </c>
      <c r="L18" s="50"/>
      <c r="M18" s="50"/>
      <c r="N18" s="126"/>
    </row>
    <row r="19" spans="1:14" ht="15.75" customHeight="1" x14ac:dyDescent="0.2">
      <c r="A19" s="131"/>
      <c r="B19" s="186" t="s">
        <v>171</v>
      </c>
      <c r="C19" s="50"/>
      <c r="D19" s="50"/>
      <c r="E19" s="186" t="s">
        <v>160</v>
      </c>
      <c r="F19" s="50"/>
      <c r="G19" s="50"/>
      <c r="H19" s="185" t="s">
        <v>149</v>
      </c>
      <c r="I19" s="50"/>
      <c r="J19" s="50"/>
      <c r="K19" s="185" t="s">
        <v>134</v>
      </c>
      <c r="L19" s="50"/>
      <c r="M19" s="50"/>
      <c r="N19" s="126"/>
    </row>
    <row r="20" spans="1:14" ht="15.75" customHeight="1" x14ac:dyDescent="0.2">
      <c r="A20" s="131"/>
      <c r="B20" s="186" t="s">
        <v>175</v>
      </c>
      <c r="C20" s="50"/>
      <c r="D20" s="50"/>
      <c r="E20" s="186" t="s">
        <v>164</v>
      </c>
      <c r="F20" s="50"/>
      <c r="G20" s="50"/>
      <c r="H20" s="185" t="s">
        <v>153</v>
      </c>
      <c r="I20" s="50"/>
      <c r="J20" s="50"/>
      <c r="K20" s="185" t="s">
        <v>138</v>
      </c>
      <c r="L20" s="50"/>
      <c r="M20" s="50"/>
      <c r="N20" s="126"/>
    </row>
    <row r="21" spans="1:14" ht="15.75" customHeight="1" thickBot="1" x14ac:dyDescent="0.25">
      <c r="A21" s="131"/>
      <c r="B21" s="186" t="s">
        <v>179</v>
      </c>
      <c r="C21" s="50"/>
      <c r="D21" s="50"/>
      <c r="E21" s="186" t="s">
        <v>168</v>
      </c>
      <c r="F21" s="50"/>
      <c r="G21" s="50"/>
      <c r="H21" s="185" t="s">
        <v>157</v>
      </c>
      <c r="I21" s="50"/>
      <c r="J21" s="50"/>
      <c r="K21" s="185" t="s">
        <v>142</v>
      </c>
      <c r="L21" s="50"/>
      <c r="M21" s="50"/>
      <c r="N21" s="126"/>
    </row>
    <row r="22" spans="1:14" ht="15.75" customHeight="1" thickBot="1" x14ac:dyDescent="0.3">
      <c r="A22" s="131"/>
      <c r="B22" s="186" t="s">
        <v>183</v>
      </c>
      <c r="C22" s="50"/>
      <c r="D22" s="50"/>
      <c r="E22" s="186" t="s">
        <v>172</v>
      </c>
      <c r="F22" s="50"/>
      <c r="G22" s="183" t="s">
        <v>161</v>
      </c>
      <c r="H22" s="186" t="s">
        <v>165</v>
      </c>
      <c r="I22" s="50"/>
      <c r="J22" s="50"/>
      <c r="K22" s="185" t="s">
        <v>146</v>
      </c>
      <c r="L22" s="50"/>
      <c r="M22" s="50"/>
      <c r="N22" s="126"/>
    </row>
    <row r="23" spans="1:14" ht="15.75" customHeight="1" x14ac:dyDescent="0.2">
      <c r="A23" s="131"/>
      <c r="B23" s="186" t="s">
        <v>187</v>
      </c>
      <c r="C23" s="50"/>
      <c r="D23" s="50"/>
      <c r="E23" s="186" t="s">
        <v>176</v>
      </c>
      <c r="F23" s="50"/>
      <c r="G23" s="50"/>
      <c r="H23" s="186" t="s">
        <v>169</v>
      </c>
      <c r="I23" s="50"/>
      <c r="J23" s="50"/>
      <c r="K23" s="185" t="s">
        <v>150</v>
      </c>
      <c r="L23" s="50"/>
      <c r="M23" s="50"/>
      <c r="N23" s="126"/>
    </row>
    <row r="24" spans="1:14" ht="15.75" customHeight="1" thickBot="1" x14ac:dyDescent="0.25">
      <c r="A24" s="131"/>
      <c r="B24" s="186" t="s">
        <v>191</v>
      </c>
      <c r="C24" s="50"/>
      <c r="D24" s="50"/>
      <c r="E24" s="186" t="s">
        <v>180</v>
      </c>
      <c r="F24" s="50"/>
      <c r="G24" s="50"/>
      <c r="H24" s="186" t="s">
        <v>173</v>
      </c>
      <c r="I24" s="50"/>
      <c r="J24" s="50"/>
      <c r="K24" s="185" t="s">
        <v>154</v>
      </c>
      <c r="L24" s="50"/>
      <c r="M24" s="50"/>
      <c r="N24" s="126"/>
    </row>
    <row r="25" spans="1:14" ht="15.75" customHeight="1" thickBot="1" x14ac:dyDescent="0.3">
      <c r="A25" s="184" t="s">
        <v>195</v>
      </c>
      <c r="B25" s="185" t="s">
        <v>199</v>
      </c>
      <c r="C25" s="50"/>
      <c r="D25" s="50"/>
      <c r="E25" s="186" t="s">
        <v>184</v>
      </c>
      <c r="F25" s="50"/>
      <c r="G25" s="50"/>
      <c r="H25" s="186" t="s">
        <v>177</v>
      </c>
      <c r="I25" s="50"/>
      <c r="J25" s="50"/>
      <c r="K25" s="185" t="s">
        <v>158</v>
      </c>
      <c r="L25" s="50"/>
      <c r="M25" s="50"/>
      <c r="N25" s="126"/>
    </row>
    <row r="26" spans="1:14" ht="15.75" customHeight="1" x14ac:dyDescent="0.2">
      <c r="A26" s="131"/>
      <c r="B26" s="185" t="s">
        <v>203</v>
      </c>
      <c r="C26" s="50"/>
      <c r="D26" s="50"/>
      <c r="E26" s="186" t="s">
        <v>188</v>
      </c>
      <c r="F26" s="50"/>
      <c r="G26" s="50"/>
      <c r="H26" s="186" t="s">
        <v>181</v>
      </c>
      <c r="I26" s="50"/>
      <c r="J26" s="50"/>
      <c r="K26" s="185" t="s">
        <v>162</v>
      </c>
      <c r="L26" s="50"/>
      <c r="M26" s="50"/>
      <c r="N26" s="126"/>
    </row>
    <row r="27" spans="1:14" ht="15.75" customHeight="1" x14ac:dyDescent="0.2">
      <c r="A27" s="131"/>
      <c r="B27" s="185" t="s">
        <v>207</v>
      </c>
      <c r="C27" s="50"/>
      <c r="D27" s="50"/>
      <c r="E27" s="186" t="s">
        <v>192</v>
      </c>
      <c r="F27" s="50"/>
      <c r="G27" s="50"/>
      <c r="H27" s="186" t="s">
        <v>185</v>
      </c>
      <c r="I27" s="50"/>
      <c r="J27" s="50"/>
      <c r="K27" s="185" t="s">
        <v>166</v>
      </c>
      <c r="L27" s="50"/>
      <c r="M27" s="50"/>
      <c r="N27" s="126"/>
    </row>
    <row r="28" spans="1:14" ht="15.75" customHeight="1" thickBot="1" x14ac:dyDescent="0.25">
      <c r="A28" s="131"/>
      <c r="B28" s="185" t="s">
        <v>211</v>
      </c>
      <c r="C28" s="50"/>
      <c r="D28" s="50"/>
      <c r="E28" s="186" t="s">
        <v>196</v>
      </c>
      <c r="F28" s="50"/>
      <c r="G28" s="50"/>
      <c r="H28" s="186" t="s">
        <v>189</v>
      </c>
      <c r="I28" s="50"/>
      <c r="J28" s="50"/>
      <c r="K28" s="185" t="s">
        <v>170</v>
      </c>
      <c r="L28" s="50"/>
      <c r="M28" s="50"/>
      <c r="N28" s="126"/>
    </row>
    <row r="29" spans="1:14" ht="15.75" customHeight="1" thickBot="1" x14ac:dyDescent="0.3">
      <c r="A29" s="183" t="s">
        <v>215</v>
      </c>
      <c r="B29" s="186" t="s">
        <v>219</v>
      </c>
      <c r="C29" s="50"/>
      <c r="D29" s="50"/>
      <c r="E29" s="186" t="s">
        <v>200</v>
      </c>
      <c r="F29" s="50"/>
      <c r="G29" s="50"/>
      <c r="H29" s="186" t="s">
        <v>193</v>
      </c>
      <c r="I29" s="50"/>
      <c r="J29" s="50"/>
      <c r="K29" s="185" t="s">
        <v>174</v>
      </c>
      <c r="L29" s="50"/>
      <c r="M29" s="50"/>
      <c r="N29" s="126"/>
    </row>
    <row r="30" spans="1:14" ht="15.75" customHeight="1" thickBot="1" x14ac:dyDescent="0.25">
      <c r="A30" s="131"/>
      <c r="B30" s="186" t="s">
        <v>223</v>
      </c>
      <c r="C30" s="50"/>
      <c r="D30" s="50"/>
      <c r="E30" s="186" t="s">
        <v>204</v>
      </c>
      <c r="F30" s="50"/>
      <c r="G30" s="50"/>
      <c r="H30" s="186" t="s">
        <v>197</v>
      </c>
      <c r="I30" s="50"/>
      <c r="J30" s="50"/>
      <c r="K30" s="185" t="s">
        <v>178</v>
      </c>
      <c r="L30" s="50"/>
      <c r="M30" s="50"/>
      <c r="N30" s="126"/>
    </row>
    <row r="31" spans="1:14" ht="15.75" customHeight="1" thickBot="1" x14ac:dyDescent="0.3">
      <c r="A31" s="131"/>
      <c r="B31" s="186" t="s">
        <v>227</v>
      </c>
      <c r="C31" s="50"/>
      <c r="D31" s="184" t="s">
        <v>208</v>
      </c>
      <c r="E31" s="185" t="s">
        <v>212</v>
      </c>
      <c r="F31" s="50"/>
      <c r="G31" s="50"/>
      <c r="H31" s="186" t="s">
        <v>201</v>
      </c>
      <c r="I31" s="50"/>
      <c r="J31" s="183" t="s">
        <v>182</v>
      </c>
      <c r="K31" s="186" t="s">
        <v>186</v>
      </c>
      <c r="L31" s="50"/>
      <c r="M31" s="50"/>
      <c r="N31" s="126"/>
    </row>
    <row r="32" spans="1:14" ht="15.75" customHeight="1" thickBot="1" x14ac:dyDescent="0.3">
      <c r="A32" s="131"/>
      <c r="B32" s="186" t="s">
        <v>231</v>
      </c>
      <c r="C32" s="50"/>
      <c r="D32" s="183" t="s">
        <v>216</v>
      </c>
      <c r="E32" s="186" t="s">
        <v>220</v>
      </c>
      <c r="F32" s="50"/>
      <c r="G32" s="50"/>
      <c r="H32" s="186" t="s">
        <v>205</v>
      </c>
      <c r="I32" s="50"/>
      <c r="J32" s="50"/>
      <c r="K32" s="186" t="s">
        <v>190</v>
      </c>
      <c r="L32" s="50"/>
      <c r="M32" s="50"/>
      <c r="N32" s="126"/>
    </row>
    <row r="33" spans="1:14" ht="15.75" customHeight="1" thickBot="1" x14ac:dyDescent="0.3">
      <c r="A33" s="131"/>
      <c r="B33" s="186" t="s">
        <v>235</v>
      </c>
      <c r="C33" s="50"/>
      <c r="D33" s="50"/>
      <c r="E33" s="186" t="s">
        <v>224</v>
      </c>
      <c r="F33" s="50"/>
      <c r="G33" s="184" t="s">
        <v>209</v>
      </c>
      <c r="H33" s="185" t="s">
        <v>213</v>
      </c>
      <c r="I33" s="50"/>
      <c r="J33" s="184" t="s">
        <v>194</v>
      </c>
      <c r="K33" s="185" t="s">
        <v>198</v>
      </c>
      <c r="L33" s="50"/>
      <c r="M33" s="50"/>
      <c r="N33" s="126"/>
    </row>
    <row r="34" spans="1:14" ht="15.75" customHeight="1" x14ac:dyDescent="0.2">
      <c r="A34" s="131"/>
      <c r="B34" s="186" t="s">
        <v>239</v>
      </c>
      <c r="C34" s="50"/>
      <c r="D34" s="50"/>
      <c r="E34" s="186" t="s">
        <v>228</v>
      </c>
      <c r="F34" s="50"/>
      <c r="G34" s="50"/>
      <c r="H34" s="185" t="s">
        <v>217</v>
      </c>
      <c r="I34" s="50"/>
      <c r="J34" s="50"/>
      <c r="K34" s="185" t="s">
        <v>202</v>
      </c>
      <c r="L34" s="50"/>
      <c r="M34" s="50"/>
      <c r="N34" s="126"/>
    </row>
    <row r="35" spans="1:14" ht="15.75" customHeight="1" thickBot="1" x14ac:dyDescent="0.25">
      <c r="A35" s="131"/>
      <c r="B35" s="186" t="s">
        <v>243</v>
      </c>
      <c r="C35" s="50"/>
      <c r="D35" s="50"/>
      <c r="E35" s="186" t="s">
        <v>232</v>
      </c>
      <c r="F35" s="50"/>
      <c r="G35" s="50"/>
      <c r="H35" s="185" t="s">
        <v>221</v>
      </c>
      <c r="I35" s="50"/>
      <c r="J35" s="50"/>
      <c r="K35" s="185" t="s">
        <v>206</v>
      </c>
      <c r="L35" s="50"/>
      <c r="M35" s="50"/>
      <c r="N35" s="126"/>
    </row>
    <row r="36" spans="1:14" ht="15.75" customHeight="1" thickBot="1" x14ac:dyDescent="0.3">
      <c r="A36" s="131"/>
      <c r="B36" s="186" t="s">
        <v>247</v>
      </c>
      <c r="C36" s="50"/>
      <c r="D36" s="184" t="s">
        <v>236</v>
      </c>
      <c r="E36" s="185" t="s">
        <v>240</v>
      </c>
      <c r="F36" s="50"/>
      <c r="G36" s="50"/>
      <c r="H36" s="185" t="s">
        <v>225</v>
      </c>
      <c r="I36" s="50"/>
      <c r="J36" s="50"/>
      <c r="K36" s="185" t="s">
        <v>210</v>
      </c>
      <c r="L36" s="50"/>
      <c r="M36" s="50"/>
      <c r="N36" s="126"/>
    </row>
    <row r="37" spans="1:14" ht="15.75" customHeight="1" thickBot="1" x14ac:dyDescent="0.3">
      <c r="A37" s="184" t="s">
        <v>251</v>
      </c>
      <c r="B37" s="185" t="s">
        <v>255</v>
      </c>
      <c r="C37" s="50"/>
      <c r="D37" s="50"/>
      <c r="E37" s="185" t="s">
        <v>244</v>
      </c>
      <c r="F37" s="50"/>
      <c r="G37" s="50"/>
      <c r="H37" s="185" t="s">
        <v>229</v>
      </c>
      <c r="I37" s="50"/>
      <c r="J37" s="50"/>
      <c r="K37" s="185" t="s">
        <v>214</v>
      </c>
      <c r="L37" s="50"/>
      <c r="M37" s="50"/>
      <c r="N37" s="126"/>
    </row>
    <row r="38" spans="1:14" ht="15.75" customHeight="1" thickBot="1" x14ac:dyDescent="0.3">
      <c r="A38" s="131"/>
      <c r="B38" s="185" t="s">
        <v>259</v>
      </c>
      <c r="C38" s="50"/>
      <c r="D38" s="50"/>
      <c r="E38" s="185" t="s">
        <v>248</v>
      </c>
      <c r="F38" s="50"/>
      <c r="G38" s="50"/>
      <c r="H38" s="185" t="s">
        <v>233</v>
      </c>
      <c r="I38" s="50"/>
      <c r="J38" s="183" t="s">
        <v>218</v>
      </c>
      <c r="K38" s="186" t="s">
        <v>222</v>
      </c>
      <c r="L38" s="50"/>
      <c r="M38" s="50"/>
      <c r="N38" s="126"/>
    </row>
    <row r="39" spans="1:14" ht="15.75" customHeight="1" thickBot="1" x14ac:dyDescent="0.3">
      <c r="A39" s="131"/>
      <c r="B39" s="185" t="s">
        <v>263</v>
      </c>
      <c r="C39" s="50"/>
      <c r="D39" s="50"/>
      <c r="E39" s="185" t="s">
        <v>252</v>
      </c>
      <c r="F39" s="50"/>
      <c r="G39" s="183" t="s">
        <v>237</v>
      </c>
      <c r="H39" s="186" t="s">
        <v>241</v>
      </c>
      <c r="I39" s="50"/>
      <c r="J39" s="50"/>
      <c r="K39" s="186" t="s">
        <v>226</v>
      </c>
      <c r="L39" s="50"/>
      <c r="M39" s="50"/>
      <c r="N39" s="126"/>
    </row>
    <row r="40" spans="1:14" ht="15.75" customHeight="1" x14ac:dyDescent="0.2">
      <c r="A40" s="131"/>
      <c r="B40" s="185" t="s">
        <v>267</v>
      </c>
      <c r="C40" s="50"/>
      <c r="D40" s="50"/>
      <c r="E40" s="185" t="s">
        <v>256</v>
      </c>
      <c r="F40" s="50"/>
      <c r="G40" s="50"/>
      <c r="H40" s="186" t="s">
        <v>245</v>
      </c>
      <c r="I40" s="50"/>
      <c r="J40" s="50"/>
      <c r="K40" s="186" t="s">
        <v>230</v>
      </c>
      <c r="L40" s="50"/>
      <c r="M40" s="50"/>
      <c r="N40" s="126"/>
    </row>
    <row r="41" spans="1:14" ht="15.75" customHeight="1" x14ac:dyDescent="0.2">
      <c r="A41" s="131"/>
      <c r="B41" s="185" t="s">
        <v>271</v>
      </c>
      <c r="C41" s="50"/>
      <c r="D41" s="50"/>
      <c r="E41" s="185" t="s">
        <v>260</v>
      </c>
      <c r="F41" s="50"/>
      <c r="G41" s="50"/>
      <c r="H41" s="186" t="s">
        <v>249</v>
      </c>
      <c r="I41" s="50"/>
      <c r="J41" s="50"/>
      <c r="K41" s="186" t="s">
        <v>234</v>
      </c>
      <c r="L41" s="50"/>
      <c r="M41" s="50"/>
      <c r="N41" s="126"/>
    </row>
    <row r="42" spans="1:14" ht="15.75" customHeight="1" thickBot="1" x14ac:dyDescent="0.25">
      <c r="A42" s="131"/>
      <c r="B42" s="187" t="s">
        <v>275</v>
      </c>
      <c r="C42" s="50"/>
      <c r="D42" s="50"/>
      <c r="E42" s="185" t="s">
        <v>264</v>
      </c>
      <c r="F42" s="50"/>
      <c r="G42" s="50"/>
      <c r="H42" s="186" t="s">
        <v>253</v>
      </c>
      <c r="I42" s="50"/>
      <c r="J42" s="50"/>
      <c r="K42" s="186" t="s">
        <v>238</v>
      </c>
      <c r="L42" s="50"/>
      <c r="M42" s="50"/>
      <c r="N42" s="126"/>
    </row>
    <row r="43" spans="1:14" ht="15.75" customHeight="1" thickBot="1" x14ac:dyDescent="0.25">
      <c r="A43" s="133"/>
      <c r="B43" s="188"/>
      <c r="C43" s="188"/>
      <c r="D43" s="188"/>
      <c r="E43" s="187" t="s">
        <v>268</v>
      </c>
      <c r="F43" s="188"/>
      <c r="G43" s="188"/>
      <c r="H43" s="189" t="s">
        <v>257</v>
      </c>
      <c r="I43" s="188"/>
      <c r="J43" s="188"/>
      <c r="K43" s="189" t="s">
        <v>242</v>
      </c>
      <c r="L43" s="188"/>
      <c r="M43" s="188"/>
      <c r="N43" s="130"/>
    </row>
    <row r="44" spans="1:14" ht="15.75" customHeight="1" x14ac:dyDescent="0.2"/>
    <row r="45" spans="1:14" ht="15.75" customHeight="1" x14ac:dyDescent="0.2"/>
    <row r="46" spans="1:14" ht="15.75" customHeight="1" x14ac:dyDescent="0.2"/>
    <row r="47" spans="1:14" ht="15.75" customHeight="1" x14ac:dyDescent="0.2"/>
    <row r="48" spans="1: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 customHeight="1" x14ac:dyDescent="0.2"/>
    <row r="141" ht="15" customHeight="1" x14ac:dyDescent="0.2"/>
    <row r="144" ht="15" customHeight="1" x14ac:dyDescent="0.2"/>
    <row r="146" ht="15" customHeight="1" x14ac:dyDescent="0.2"/>
    <row r="147" ht="15" customHeight="1" x14ac:dyDescent="0.2"/>
    <row r="148" ht="15" customHeight="1" x14ac:dyDescent="0.2"/>
    <row r="156" ht="15" customHeight="1" x14ac:dyDescent="0.2"/>
    <row r="157" ht="15" customHeight="1" x14ac:dyDescent="0.2"/>
    <row r="158" ht="15" customHeight="1" x14ac:dyDescent="0.2"/>
    <row r="159" ht="15" customHeight="1" x14ac:dyDescent="0.2"/>
    <row r="162" ht="15" customHeight="1" x14ac:dyDescent="0.2"/>
    <row r="166" ht="15" customHeight="1" x14ac:dyDescent="0.2"/>
    <row r="167" ht="15" customHeight="1" x14ac:dyDescent="0.2"/>
    <row r="168" ht="15" customHeight="1" x14ac:dyDescent="0.2"/>
    <row r="169" ht="15" customHeight="1" x14ac:dyDescent="0.2"/>
    <row r="171" ht="15" customHeight="1" x14ac:dyDescent="0.2"/>
    <row r="172" ht="15" customHeight="1" x14ac:dyDescent="0.2"/>
    <row r="174" ht="15" customHeight="1" x14ac:dyDescent="0.2"/>
    <row r="175" ht="15" customHeight="1" x14ac:dyDescent="0.2"/>
    <row r="176" ht="15" customHeight="1" x14ac:dyDescent="0.2"/>
    <row r="179" ht="15" customHeight="1" x14ac:dyDescent="0.2"/>
    <row r="180" ht="15" customHeight="1" x14ac:dyDescent="0.2"/>
  </sheetData>
  <sheetProtection sheet="1" objects="1" scenarios="1"/>
  <mergeCells count="1">
    <mergeCell ref="A1:N1"/>
  </mergeCells>
  <phoneticPr fontId="1" type="noConversion"/>
  <printOptions horizontalCentered="1"/>
  <pageMargins left="0.31496062992125984" right="0.31496062992125984" top="0.74803149606299213" bottom="0.47244094488188981" header="0.31496062992125984" footer="0.31496062992125984"/>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Erklärung</vt:lpstr>
      <vt:lpstr>Eingabe</vt:lpstr>
      <vt:lpstr>Ausgabe freie Lüftung</vt:lpstr>
      <vt:lpstr>Ausgabe vg Lüftung</vt:lpstr>
      <vt:lpstr>Ausgabe vg R-LG</vt:lpstr>
      <vt:lpstr>Winddaten</vt:lpstr>
      <vt:lpstr>'Ausgabe freie Lüftung'!Druckbereich</vt:lpstr>
      <vt:lpstr>'Ausgabe vg Lüftung'!Druckbereich</vt:lpstr>
      <vt:lpstr>'Ausgabe vg R-LG'!Druckbereich</vt:lpstr>
      <vt:lpstr>Eingabe!Druckbereich</vt:lpstr>
      <vt:lpstr>Erklärung!Druckbereich</vt:lpstr>
    </vt:vector>
  </TitlesOfParts>
  <Company>FH Rosenheim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Berechnungstool zur Lüftung nach DIN 1946-6:2009-05</dc:title>
  <dc:creator>Rafael Botsch</dc:creator>
  <cp:lastModifiedBy>Krause, Harald</cp:lastModifiedBy>
  <cp:lastPrinted>2012-03-02T17:07:49Z</cp:lastPrinted>
  <dcterms:created xsi:type="dcterms:W3CDTF">2010-01-29T06:52:45Z</dcterms:created>
  <dcterms:modified xsi:type="dcterms:W3CDTF">2014-12-03T09:14:02Z</dcterms:modified>
</cp:coreProperties>
</file>